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TAT COE\Website Statistics\"/>
    </mc:Choice>
  </mc:AlternateContent>
  <bookViews>
    <workbookView xWindow="0" yWindow="210" windowWidth="23040" windowHeight="9210"/>
  </bookViews>
  <sheets>
    <sheet name="Calculator v.2.0" sheetId="2" r:id="rId1"/>
    <sheet name="Calculator v.1.0" sheetId="3" r:id="rId2"/>
  </sheets>
  <definedNames>
    <definedName name="JMP_Input_85e3ef861a743fe542c3f72125237a42" localSheetId="1" hidden="1">'Calculator v.1.0'!$C$3</definedName>
    <definedName name="JMP_Input_85e3ef861a743fe542c3f72125237a42" localSheetId="0" hidden="1">#REF!</definedName>
    <definedName name="JMP_Input_85e3ef861a743fe542c3f72125237a42" hidden="1">#REF!</definedName>
    <definedName name="JMP_Input_8b05e8e3d908d88e5234c10c0329649e" localSheetId="1" hidden="1">'Calculator v.1.0'!$C$4</definedName>
    <definedName name="JMP_Input_8b05e8e3d908d88e5234c10c0329649e" localSheetId="0" hidden="1">#REF!</definedName>
    <definedName name="JMP_Input_8b05e8e3d908d88e5234c10c0329649e" hidden="1">#REF!</definedName>
    <definedName name="JMP_ModelData" hidden="1">"'Partitions:3'"</definedName>
    <definedName name="JMP_ModelData.0" hidden="1">"'﻿&lt;?xml version=""1.0"" encoding=""utf-8""?&gt;&lt;ModelData xmlns:xsi=""http://www.w3.org/2001/XMLSchema-instance"" xmlns:xsd=""http://www.w3.org/2001/XMLSchema""&gt;&lt;ProfilerModels&gt;&lt;Models&gt;&lt;Inputs&gt;&lt;Parameters name=""P(success)"" cell=""C3"" cellStorage=""JMP_'"</definedName>
    <definedName name="JMP_ModelData.1" hidden="1">"'Input_85e3ef861a743fe542c3f72125237a42"" minimum=""0"" maximum=""1"" initial=""0.9"" /&gt;&lt;Parameters name=""D ="" cell=""C4"" cellStorage=""JMP_Input_8b05e8e3d908d88e5234c10c0329649e"" minimum=""0"" maximum=""1"" initial=""0.1"" /&gt;&lt;/Inputs&gt;&lt;Outputs&gt;&lt;Pa'"</definedName>
    <definedName name="JMP_ModelData.2" hidden="1">"'rameters name=""Signal to Noise (Normal method)"" cell=""C30"" cellStorage=""JMP_Output_c8bcf70375388d58e764ffac5ba3544e"" minimum=""0"" maximum=""0"" initial=""0"" /&gt;&lt;/Outputs&gt;&lt;name&gt;Sample Size Calculator&lt;/name&gt;&lt;/Models&gt;&lt;/ProfilerModels&gt;&lt;/ModelData&gt;'"</definedName>
    <definedName name="JMP_Models" hidden="1">"'Sample Size Calculator'"</definedName>
    <definedName name="JMP_Output_c8bcf70375388d58e764ffac5ba3544e" localSheetId="1" hidden="1">'Calculator v.1.0'!$C$23</definedName>
    <definedName name="JMP_Output_c8bcf70375388d58e764ffac5ba3544e" localSheetId="0" hidden="1">#REF!</definedName>
    <definedName name="JMP_Output_c8bcf70375388d58e764ffac5ba3544e" hidden="1">#REF!</definedName>
    <definedName name="solver_adj" localSheetId="1" hidden="1">'Calculator v.1.0'!$C$4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'Calculator v.1.0'!$C$4</definedName>
    <definedName name="solver_lhs2" localSheetId="1" hidden="1">'Calculator v.1.0'!$C$4</definedName>
    <definedName name="solver_lin" localSheetId="1" hidden="1">2</definedName>
    <definedName name="solver_neg" localSheetId="1" hidden="1">2</definedName>
    <definedName name="solver_num" localSheetId="1" hidden="1">2</definedName>
    <definedName name="solver_nwt" localSheetId="1" hidden="1">1</definedName>
    <definedName name="solver_opt" localSheetId="1" hidden="1">'Calculator v.1.0'!$C$16</definedName>
    <definedName name="solver_pre" localSheetId="1" hidden="1">0.000001</definedName>
    <definedName name="solver_rel1" localSheetId="1" hidden="1">3</definedName>
    <definedName name="solver_rel2" localSheetId="1" hidden="1">1</definedName>
    <definedName name="solver_rhs1" localSheetId="1" hidden="1">0.0001</definedName>
    <definedName name="solver_rhs2" localSheetId="1" hidden="1">0.9999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4000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3" i="3" l="1"/>
  <c r="C23" i="3"/>
  <c r="AB22" i="3"/>
  <c r="C22" i="3"/>
  <c r="AB17" i="3"/>
  <c r="AB21" i="3" s="1"/>
  <c r="AB16" i="3"/>
  <c r="AB11" i="3"/>
  <c r="AB10" i="3"/>
  <c r="C21" i="3" s="1"/>
  <c r="AB9" i="3"/>
  <c r="AB7" i="3"/>
  <c r="AB6" i="3"/>
  <c r="AB8" i="3" s="1"/>
  <c r="AB5" i="3"/>
  <c r="AB4" i="3"/>
  <c r="AB3" i="3"/>
  <c r="C13" i="3" l="1"/>
  <c r="C28" i="3"/>
  <c r="AB12" i="3"/>
  <c r="C15" i="3"/>
  <c r="C16" i="3" s="1"/>
  <c r="AB20" i="3"/>
  <c r="C14" i="3"/>
  <c r="C30" i="3" l="1"/>
  <c r="C29" i="3"/>
  <c r="C31" i="3" s="1"/>
  <c r="F9" i="2" l="1"/>
  <c r="F10" i="2"/>
  <c r="Z6" i="2" l="1"/>
  <c r="K78" i="2" s="1"/>
  <c r="K12" i="2" s="1"/>
  <c r="F11" i="2"/>
  <c r="Z7" i="2"/>
  <c r="J20" i="2" l="1"/>
  <c r="L33" i="2"/>
  <c r="L110" i="2"/>
  <c r="J115" i="2"/>
  <c r="J102" i="2"/>
  <c r="L28" i="2"/>
  <c r="L9" i="2" s="1"/>
  <c r="K83" i="2"/>
  <c r="J94" i="2"/>
  <c r="L105" i="2"/>
  <c r="L23" i="2"/>
  <c r="L8" i="2" s="1"/>
  <c r="L102" i="2"/>
  <c r="J37" i="2"/>
  <c r="J109" i="2"/>
  <c r="J86" i="2"/>
  <c r="L103" i="2"/>
  <c r="K77" i="2"/>
  <c r="L94" i="2"/>
  <c r="J59" i="2"/>
  <c r="K80" i="2"/>
  <c r="J100" i="2"/>
  <c r="L113" i="2"/>
  <c r="L25" i="2"/>
  <c r="L108" i="2"/>
  <c r="L22" i="2"/>
  <c r="K48" i="2"/>
  <c r="J62" i="2"/>
  <c r="L73" i="2"/>
  <c r="K51" i="2"/>
  <c r="L70" i="2"/>
  <c r="J113" i="2"/>
  <c r="K42" i="2"/>
  <c r="J54" i="2"/>
  <c r="L71" i="2"/>
  <c r="K45" i="2"/>
  <c r="L62" i="2"/>
  <c r="K87" i="2"/>
  <c r="K34" i="2"/>
  <c r="J52" i="2"/>
  <c r="L65" i="2"/>
  <c r="K37" i="2"/>
  <c r="L60" i="2"/>
  <c r="K94" i="2"/>
  <c r="J35" i="2"/>
  <c r="K32" i="2"/>
  <c r="J46" i="2"/>
  <c r="L57" i="2"/>
  <c r="K35" i="2"/>
  <c r="L54" i="2"/>
  <c r="J43" i="2"/>
  <c r="K66" i="2"/>
  <c r="K26" i="2"/>
  <c r="J84" i="2"/>
  <c r="J38" i="2"/>
  <c r="L97" i="2"/>
  <c r="L55" i="2"/>
  <c r="K69" i="2"/>
  <c r="K29" i="2"/>
  <c r="L92" i="2"/>
  <c r="L46" i="2"/>
  <c r="K96" i="2"/>
  <c r="J49" i="2"/>
  <c r="K72" i="2"/>
  <c r="K64" i="2"/>
  <c r="J118" i="2"/>
  <c r="J14" i="2" s="1"/>
  <c r="J78" i="2"/>
  <c r="J36" i="2"/>
  <c r="L89" i="2"/>
  <c r="L49" i="2"/>
  <c r="K67" i="2"/>
  <c r="K21" i="2"/>
  <c r="L86" i="2"/>
  <c r="L44" i="2"/>
  <c r="K97" i="2"/>
  <c r="K85" i="2"/>
  <c r="K89" i="2"/>
  <c r="K58" i="2"/>
  <c r="K11" i="2" s="1"/>
  <c r="J116" i="2"/>
  <c r="J70" i="2"/>
  <c r="J30" i="2"/>
  <c r="L87" i="2"/>
  <c r="L41" i="2"/>
  <c r="K61" i="2"/>
  <c r="K19" i="2"/>
  <c r="K7" i="2" s="1"/>
  <c r="L78" i="2"/>
  <c r="L12" i="2" s="1"/>
  <c r="L38" i="2"/>
  <c r="L10" i="2" s="1"/>
  <c r="J105" i="2"/>
  <c r="J73" i="2"/>
  <c r="J99" i="2"/>
  <c r="K50" i="2"/>
  <c r="J110" i="2"/>
  <c r="J68" i="2"/>
  <c r="J22" i="2"/>
  <c r="L81" i="2"/>
  <c r="L39" i="2"/>
  <c r="K53" i="2"/>
  <c r="L118" i="2"/>
  <c r="L14" i="2" s="1"/>
  <c r="L76" i="2"/>
  <c r="L30" i="2"/>
  <c r="J77" i="2"/>
  <c r="J107" i="2"/>
  <c r="K106" i="2"/>
  <c r="J55" i="2"/>
  <c r="J45" i="2"/>
  <c r="J69" i="2"/>
  <c r="J61" i="2"/>
  <c r="J89" i="2"/>
  <c r="J51" i="2"/>
  <c r="K102" i="2"/>
  <c r="J93" i="2"/>
  <c r="K62" i="2"/>
  <c r="K46" i="2"/>
  <c r="K30" i="2"/>
  <c r="J114" i="2"/>
  <c r="J98" i="2"/>
  <c r="J13" i="2" s="1"/>
  <c r="J82" i="2"/>
  <c r="J66" i="2"/>
  <c r="J50" i="2"/>
  <c r="J34" i="2"/>
  <c r="L117" i="2"/>
  <c r="L101" i="2"/>
  <c r="L85" i="2"/>
  <c r="L69" i="2"/>
  <c r="L53" i="2"/>
  <c r="L37" i="2"/>
  <c r="L21" i="2"/>
  <c r="K65" i="2"/>
  <c r="K49" i="2"/>
  <c r="K33" i="2"/>
  <c r="L6" i="2"/>
  <c r="L106" i="2"/>
  <c r="L90" i="2"/>
  <c r="L74" i="2"/>
  <c r="L58" i="2"/>
  <c r="L11" i="2" s="1"/>
  <c r="L42" i="2"/>
  <c r="L26" i="2"/>
  <c r="J53" i="2"/>
  <c r="J95" i="2"/>
  <c r="K111" i="2"/>
  <c r="J19" i="2"/>
  <c r="J7" i="2" s="1"/>
  <c r="K101" i="2"/>
  <c r="K100" i="2"/>
  <c r="K104" i="2"/>
  <c r="K103" i="2"/>
  <c r="K90" i="2"/>
  <c r="J57" i="2"/>
  <c r="K105" i="2"/>
  <c r="K99" i="2"/>
  <c r="K60" i="2"/>
  <c r="K44" i="2"/>
  <c r="K28" i="2"/>
  <c r="K9" i="2" s="1"/>
  <c r="J112" i="2"/>
  <c r="J96" i="2"/>
  <c r="J80" i="2"/>
  <c r="J64" i="2"/>
  <c r="J48" i="2"/>
  <c r="J32" i="2"/>
  <c r="L115" i="2"/>
  <c r="L99" i="2"/>
  <c r="L83" i="2"/>
  <c r="L67" i="2"/>
  <c r="L51" i="2"/>
  <c r="L35" i="2"/>
  <c r="L19" i="2"/>
  <c r="L7" i="2" s="1"/>
  <c r="K63" i="2"/>
  <c r="K47" i="2"/>
  <c r="K31" i="2"/>
  <c r="K6" i="2"/>
  <c r="L104" i="2"/>
  <c r="L88" i="2"/>
  <c r="L72" i="2"/>
  <c r="L56" i="2"/>
  <c r="L40" i="2"/>
  <c r="L24" i="2"/>
  <c r="J27" i="2"/>
  <c r="J103" i="2"/>
  <c r="J65" i="2"/>
  <c r="J67" i="2"/>
  <c r="K108" i="2"/>
  <c r="J111" i="2"/>
  <c r="J117" i="2"/>
  <c r="K114" i="2"/>
  <c r="K116" i="2"/>
  <c r="K74" i="2"/>
  <c r="K76" i="2"/>
  <c r="K118" i="2"/>
  <c r="K14" i="2" s="1"/>
  <c r="K112" i="2"/>
  <c r="K56" i="2"/>
  <c r="K40" i="2"/>
  <c r="K24" i="2"/>
  <c r="J108" i="2"/>
  <c r="J92" i="2"/>
  <c r="J76" i="2"/>
  <c r="J60" i="2"/>
  <c r="J44" i="2"/>
  <c r="J28" i="2"/>
  <c r="J9" i="2" s="1"/>
  <c r="L111" i="2"/>
  <c r="L95" i="2"/>
  <c r="L79" i="2"/>
  <c r="L63" i="2"/>
  <c r="L47" i="2"/>
  <c r="L31" i="2"/>
  <c r="K75" i="2"/>
  <c r="K59" i="2"/>
  <c r="K43" i="2"/>
  <c r="K27" i="2"/>
  <c r="L116" i="2"/>
  <c r="L100" i="2"/>
  <c r="L84" i="2"/>
  <c r="L68" i="2"/>
  <c r="L52" i="2"/>
  <c r="L36" i="2"/>
  <c r="L20" i="2"/>
  <c r="J29" i="2"/>
  <c r="J75" i="2"/>
  <c r="J85" i="2"/>
  <c r="J33" i="2"/>
  <c r="J71" i="2"/>
  <c r="J87" i="2"/>
  <c r="J79" i="2"/>
  <c r="K92" i="2"/>
  <c r="J83" i="2"/>
  <c r="K115" i="2"/>
  <c r="K54" i="2"/>
  <c r="K38" i="2"/>
  <c r="K10" i="2" s="1"/>
  <c r="K22" i="2"/>
  <c r="J106" i="2"/>
  <c r="J90" i="2"/>
  <c r="J74" i="2"/>
  <c r="J58" i="2"/>
  <c r="J11" i="2" s="1"/>
  <c r="J42" i="2"/>
  <c r="J26" i="2"/>
  <c r="L109" i="2"/>
  <c r="L93" i="2"/>
  <c r="L77" i="2"/>
  <c r="L61" i="2"/>
  <c r="L45" i="2"/>
  <c r="L29" i="2"/>
  <c r="K73" i="2"/>
  <c r="K57" i="2"/>
  <c r="K41" i="2"/>
  <c r="K25" i="2"/>
  <c r="L114" i="2"/>
  <c r="L98" i="2"/>
  <c r="L13" i="2" s="1"/>
  <c r="L82" i="2"/>
  <c r="L66" i="2"/>
  <c r="L50" i="2"/>
  <c r="L34" i="2"/>
  <c r="J6" i="2"/>
  <c r="J39" i="2"/>
  <c r="K84" i="2"/>
  <c r="K91" i="2"/>
  <c r="K70" i="2"/>
  <c r="J81" i="2"/>
  <c r="J101" i="2"/>
  <c r="K93" i="2"/>
  <c r="J41" i="2"/>
  <c r="K81" i="2"/>
  <c r="K109" i="2"/>
  <c r="J97" i="2"/>
  <c r="K110" i="2"/>
  <c r="K95" i="2"/>
  <c r="J31" i="2"/>
  <c r="K82" i="2"/>
  <c r="J23" i="2"/>
  <c r="J8" i="2" s="1"/>
  <c r="J21" i="2"/>
  <c r="K86" i="2"/>
  <c r="J63" i="2"/>
  <c r="K68" i="2"/>
  <c r="K52" i="2"/>
  <c r="K36" i="2"/>
  <c r="K20" i="2"/>
  <c r="J104" i="2"/>
  <c r="J88" i="2"/>
  <c r="J72" i="2"/>
  <c r="J56" i="2"/>
  <c r="M56" i="2" s="1"/>
  <c r="J40" i="2"/>
  <c r="J24" i="2"/>
  <c r="M24" i="2" s="1"/>
  <c r="L107" i="2"/>
  <c r="L91" i="2"/>
  <c r="L75" i="2"/>
  <c r="L59" i="2"/>
  <c r="L43" i="2"/>
  <c r="L27" i="2"/>
  <c r="K71" i="2"/>
  <c r="K55" i="2"/>
  <c r="K39" i="2"/>
  <c r="K23" i="2"/>
  <c r="K8" i="2" s="1"/>
  <c r="L112" i="2"/>
  <c r="L96" i="2"/>
  <c r="L80" i="2"/>
  <c r="L64" i="2"/>
  <c r="L48" i="2"/>
  <c r="M48" i="2" s="1"/>
  <c r="L32" i="2"/>
  <c r="J25" i="2"/>
  <c r="J47" i="2"/>
  <c r="J91" i="2"/>
  <c r="K98" i="2"/>
  <c r="K13" i="2" s="1"/>
  <c r="K79" i="2"/>
  <c r="K88" i="2"/>
  <c r="K113" i="2"/>
  <c r="K107" i="2"/>
  <c r="K117" i="2"/>
  <c r="J12" i="2"/>
  <c r="J10" i="2"/>
  <c r="M42" i="2" l="1"/>
  <c r="M87" i="2"/>
  <c r="M22" i="2"/>
  <c r="M78" i="2"/>
  <c r="M12" i="2" s="1"/>
  <c r="M94" i="2"/>
  <c r="M77" i="2"/>
  <c r="M35" i="2"/>
  <c r="M89" i="2"/>
  <c r="M26" i="2"/>
  <c r="M54" i="2"/>
  <c r="M46" i="2"/>
  <c r="M62" i="2"/>
  <c r="M37" i="2"/>
  <c r="M102" i="2"/>
  <c r="M113" i="2"/>
  <c r="M45" i="2"/>
  <c r="M86" i="2"/>
  <c r="M105" i="2"/>
  <c r="M73" i="2"/>
  <c r="M72" i="2"/>
  <c r="M30" i="2"/>
  <c r="M49" i="2"/>
  <c r="M32" i="2"/>
  <c r="M38" i="2"/>
  <c r="M10" i="2" s="1"/>
  <c r="M60" i="2"/>
  <c r="M55" i="2"/>
  <c r="M29" i="2"/>
  <c r="M47" i="2"/>
  <c r="M110" i="2"/>
  <c r="M70" i="2"/>
  <c r="M97" i="2"/>
  <c r="M61" i="2"/>
  <c r="M90" i="2"/>
  <c r="M53" i="2"/>
  <c r="M69" i="2"/>
  <c r="M76" i="2"/>
  <c r="M59" i="2"/>
  <c r="M19" i="2"/>
  <c r="M7" i="2" s="1"/>
  <c r="M51" i="2"/>
  <c r="M92" i="2"/>
  <c r="M6" i="2"/>
  <c r="M58" i="2"/>
  <c r="M11" i="2" s="1"/>
  <c r="M81" i="2"/>
  <c r="M44" i="2"/>
  <c r="M83" i="2"/>
  <c r="M103" i="2"/>
  <c r="M23" i="2"/>
  <c r="M8" i="2" s="1"/>
  <c r="M63" i="2"/>
  <c r="M28" i="2"/>
  <c r="M9" i="2" s="1"/>
  <c r="M88" i="2"/>
  <c r="M21" i="2"/>
  <c r="M104" i="2"/>
  <c r="M25" i="2"/>
  <c r="M39" i="2"/>
  <c r="M107" i="2"/>
  <c r="M36" i="2"/>
  <c r="M31" i="2"/>
  <c r="M115" i="2"/>
  <c r="M108" i="2"/>
  <c r="M116" i="2"/>
  <c r="M27" i="2"/>
  <c r="M68" i="2"/>
  <c r="M52" i="2"/>
  <c r="M64" i="2"/>
  <c r="M98" i="2"/>
  <c r="M13" i="2" s="1"/>
  <c r="M100" i="2"/>
  <c r="M20" i="2"/>
  <c r="M43" i="2"/>
  <c r="M111" i="2"/>
  <c r="M40" i="2"/>
  <c r="M74" i="2"/>
  <c r="M99" i="2"/>
  <c r="M109" i="2"/>
  <c r="M75" i="2"/>
  <c r="M106" i="2"/>
  <c r="M84" i="2"/>
  <c r="M71" i="2"/>
  <c r="M67" i="2"/>
  <c r="M80" i="2"/>
  <c r="M57" i="2"/>
  <c r="M85" i="2"/>
  <c r="M114" i="2"/>
  <c r="M112" i="2"/>
  <c r="M33" i="2"/>
  <c r="M101" i="2"/>
  <c r="M117" i="2"/>
  <c r="M79" i="2"/>
  <c r="M65" i="2"/>
  <c r="M34" i="2"/>
  <c r="M118" i="2"/>
  <c r="M14" i="2" s="1"/>
  <c r="M95" i="2"/>
  <c r="M50" i="2"/>
  <c r="M93" i="2"/>
  <c r="M41" i="2"/>
  <c r="M66" i="2"/>
  <c r="M91" i="2"/>
  <c r="M96" i="2"/>
  <c r="M82" i="2"/>
</calcChain>
</file>

<file path=xl/comments1.xml><?xml version="1.0" encoding="utf-8"?>
<comments xmlns="http://schemas.openxmlformats.org/spreadsheetml/2006/main">
  <authors>
    <author>fortiz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STAT COE:</t>
        </r>
        <r>
          <rPr>
            <sz val="9"/>
            <color indexed="81"/>
            <rFont val="Tahoma"/>
            <family val="2"/>
          </rPr>
          <t xml:space="preserve">
Value between 0 and 1.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STAT COE:</t>
        </r>
        <r>
          <rPr>
            <sz val="9"/>
            <color indexed="81"/>
            <rFont val="Tahoma"/>
            <family val="2"/>
          </rPr>
          <t xml:space="preserve">
Value between 0 and 1.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STAT COE:
</t>
        </r>
        <r>
          <rPr>
            <sz val="9"/>
            <color indexed="81"/>
            <rFont val="Tahoma"/>
            <family val="2"/>
          </rPr>
          <t xml:space="preserve">Value between 0 and 1.
</t>
        </r>
      </text>
    </comment>
  </commentList>
</comments>
</file>

<file path=xl/comments2.xml><?xml version="1.0" encoding="utf-8"?>
<comments xmlns="http://schemas.openxmlformats.org/spreadsheetml/2006/main">
  <authors>
    <author>Francisco Ortiz</author>
    <author>7_admin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>Proportion of success (Ps). Use requirement goal (Ps) here if testing to meet a specification.</t>
        </r>
      </text>
    </comment>
    <comment ref="AB3" authorId="0" shapeId="0">
      <text>
        <r>
          <rPr>
            <sz val="9"/>
            <color indexed="81"/>
            <rFont val="Tahoma"/>
            <family val="2"/>
          </rPr>
          <t>N=2^(k-p) for a fractional factorial design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>minimum change in proportion you wish to detect</t>
        </r>
      </text>
    </comment>
    <comment ref="AB4" authorId="0" shapeId="0">
      <text>
        <r>
          <rPr>
            <sz val="9"/>
            <color indexed="81"/>
            <rFont val="Tahoma"/>
            <family val="2"/>
          </rPr>
          <t>N=2^(k-p) for a fractional factorial design</t>
        </r>
      </text>
    </comment>
    <comment ref="C5" authorId="0" shapeId="0">
      <text>
        <r>
          <rPr>
            <sz val="9"/>
            <color indexed="81"/>
            <rFont val="Tahoma"/>
            <family val="2"/>
          </rPr>
          <t>Confidence (1-</t>
        </r>
        <r>
          <rPr>
            <sz val="9"/>
            <color indexed="81"/>
            <rFont val="Symbol"/>
            <family val="1"/>
            <charset val="2"/>
          </rPr>
          <t>a</t>
        </r>
        <r>
          <rPr>
            <sz val="9"/>
            <color indexed="81"/>
            <rFont val="Tahoma"/>
            <family val="2"/>
          </rPr>
          <t xml:space="preserve">) is typically 0.8 in DoD experiments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Power (1-</t>
        </r>
        <r>
          <rPr>
            <sz val="9"/>
            <color indexed="81"/>
            <rFont val="Symbol"/>
            <family val="1"/>
            <charset val="2"/>
          </rPr>
          <t>b)</t>
        </r>
        <r>
          <rPr>
            <sz val="9"/>
            <color indexed="81"/>
            <rFont val="Tahoma"/>
            <family val="2"/>
          </rPr>
          <t xml:space="preserve"> is typically 0.80 or more  in DoD experiments</t>
        </r>
      </text>
    </comment>
    <comment ref="AB6" authorId="0" shapeId="0">
      <text>
        <r>
          <rPr>
            <sz val="9"/>
            <color indexed="81"/>
            <rFont val="Tahoma"/>
            <family val="2"/>
          </rPr>
          <t>Alpha</t>
        </r>
        <r>
          <rPr>
            <sz val="9"/>
            <color indexed="81"/>
            <rFont val="Symbol"/>
            <family val="1"/>
            <charset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 is typically 0.05 or 0.1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>Number of factors
Note: Only use for 2^(k-f) designs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>Fractionate variable
Note: Only use for 2^(k-f) designs</t>
        </r>
      </text>
    </comment>
    <comment ref="AB8" authorId="0" shapeId="0">
      <text>
        <r>
          <rPr>
            <sz val="9"/>
            <color indexed="81"/>
            <rFont val="Tahoma"/>
            <family val="2"/>
          </rPr>
          <t>C
ritical values</t>
        </r>
      </text>
    </comment>
    <comment ref="AB9" authorId="0" shapeId="0">
      <text>
        <r>
          <rPr>
            <sz val="9"/>
            <color indexed="81"/>
            <rFont val="Tahoma"/>
            <family val="2"/>
          </rPr>
          <t xml:space="preserve">Critical Values
</t>
        </r>
      </text>
    </comment>
    <comment ref="AB10" authorId="0" shapeId="0">
      <text>
        <r>
          <rPr>
            <sz val="9"/>
            <color indexed="81"/>
            <rFont val="Tahoma"/>
            <family val="2"/>
          </rPr>
          <t>change in transformed scale</t>
        </r>
      </text>
    </comment>
    <comment ref="AB11" authorId="1" shapeId="0">
      <text>
        <r>
          <rPr>
            <sz val="9"/>
            <color indexed="81"/>
            <rFont val="Tahoma"/>
            <family val="2"/>
          </rPr>
          <t xml:space="preserve">Variance of arcsin transformation is 1/4n. Let n=1 in order to estimate SNR with 1 rep.
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Calculation based on Bisgaard and Fuller (1995) formulation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Solves for both n(1-p(bar)) &gt;=5 and np(bar)&gt;=5 and chooses the maximum value</t>
        </r>
      </text>
    </comment>
    <comment ref="C15" authorId="0" shapeId="0">
      <text>
        <r>
          <rPr>
            <sz val="9"/>
            <color indexed="81"/>
            <rFont val="Tahoma"/>
            <family val="2"/>
          </rPr>
          <t>Takes the maximum value between the reps needed for power and the reps needed for the approximation</t>
        </r>
      </text>
    </comment>
    <comment ref="C16" authorId="0" shapeId="0">
      <text>
        <r>
          <rPr>
            <sz val="9"/>
            <color indexed="81"/>
            <rFont val="Tahoma"/>
            <family val="2"/>
          </rPr>
          <t>The total number of runs X the recommended number of reps.</t>
        </r>
      </text>
    </comment>
    <comment ref="C28" authorId="0" shapeId="0">
      <text>
        <r>
          <rPr>
            <sz val="9"/>
            <color indexed="81"/>
            <rFont val="Tahoma"/>
            <family val="2"/>
          </rPr>
          <t>Run reps until this number of failures is seen. Record number of reps it took to get there as the response.</t>
        </r>
      </text>
    </comment>
  </commentList>
</comments>
</file>

<file path=xl/sharedStrings.xml><?xml version="1.0" encoding="utf-8"?>
<sst xmlns="http://schemas.openxmlformats.org/spreadsheetml/2006/main" count="83" uniqueCount="76">
  <si>
    <t>Average</t>
  </si>
  <si>
    <t>Logit</t>
  </si>
  <si>
    <t>Arcsin</t>
  </si>
  <si>
    <t>Normal</t>
  </si>
  <si>
    <t>Replicates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</si>
  <si>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 xml:space="preserve"> =</t>
    </r>
  </si>
  <si>
    <t>p2</t>
  </si>
  <si>
    <t>Reps</t>
  </si>
  <si>
    <t>p1</t>
  </si>
  <si>
    <t>Sig(rtr)</t>
  </si>
  <si>
    <r>
      <t>P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(Low)</t>
    </r>
  </si>
  <si>
    <t>User Specified</t>
  </si>
  <si>
    <r>
      <t>P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(High)</t>
    </r>
  </si>
  <si>
    <t>Calculations</t>
  </si>
  <si>
    <t>Avg.</t>
  </si>
  <si>
    <t>Values</t>
  </si>
  <si>
    <t>Inputs</t>
  </si>
  <si>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(Avg)</t>
    </r>
  </si>
  <si>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(Low)</t>
    </r>
  </si>
  <si>
    <t>Signal-to-Noise Estimator for a Binary Response</t>
  </si>
  <si>
    <t>Output Table 1:</t>
  </si>
  <si>
    <t>Output Table 2:</t>
  </si>
  <si>
    <t>Sample Size Calculator for Designed Experiments That Use Binary Responses</t>
  </si>
  <si>
    <t xml:space="preserve"> User Inputs</t>
  </si>
  <si>
    <t>Calculations (do not alter)</t>
  </si>
  <si>
    <t>P(success)</t>
  </si>
  <si>
    <t>Color Legend</t>
  </si>
  <si>
    <t>Design size N =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</si>
  <si>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 xml:space="preserve"> =</t>
    </r>
  </si>
  <si>
    <t>P(fail)</t>
  </si>
  <si>
    <t>Confidence</t>
  </si>
  <si>
    <t>Information</t>
  </si>
  <si>
    <t>% Change</t>
  </si>
  <si>
    <t>Power</t>
  </si>
  <si>
    <t>Recommended Solution</t>
  </si>
  <si>
    <t>a</t>
  </si>
  <si>
    <t>k</t>
  </si>
  <si>
    <t>b</t>
  </si>
  <si>
    <t>f</t>
  </si>
  <si>
    <t>References:</t>
  </si>
  <si>
    <r>
      <t>z-</t>
    </r>
    <r>
      <rPr>
        <sz val="10"/>
        <rFont val="Symbol"/>
        <family val="1"/>
        <charset val="2"/>
      </rPr>
      <t>a</t>
    </r>
    <r>
      <rPr>
        <sz val="12"/>
        <rFont val="Calibri"/>
        <family val="2"/>
        <scheme val="minor"/>
      </rPr>
      <t>/2 =</t>
    </r>
  </si>
  <si>
    <t>Søren Bisgaard and Howard T. Fuller</t>
  </si>
  <si>
    <r>
      <t>z-</t>
    </r>
    <r>
      <rPr>
        <sz val="10"/>
        <rFont val="Symbol"/>
        <family val="1"/>
        <charset val="2"/>
      </rPr>
      <t>b</t>
    </r>
    <r>
      <rPr>
        <sz val="12"/>
        <rFont val="Calibri"/>
        <family val="2"/>
        <scheme val="minor"/>
      </rPr>
      <t xml:space="preserve"> =</t>
    </r>
  </si>
  <si>
    <t>"Sample Size Estimates for 2^(k-p) Designs with Binary Responses"</t>
  </si>
  <si>
    <r>
      <rPr>
        <sz val="10"/>
        <rFont val="Symbol"/>
        <family val="1"/>
        <charset val="2"/>
      </rPr>
      <t>d*</t>
    </r>
    <r>
      <rPr>
        <sz val="10"/>
        <rFont val="Arial"/>
        <family val="2"/>
      </rPr>
      <t xml:space="preserve"> =</t>
    </r>
  </si>
  <si>
    <r>
      <t>Journal of Quality Technology</t>
    </r>
    <r>
      <rPr>
        <sz val="12"/>
        <rFont val="Calibri"/>
        <family val="2"/>
      </rPr>
      <t>, Vol. 27, No. 4, October 1995</t>
    </r>
  </si>
  <si>
    <r>
      <rPr>
        <sz val="10"/>
        <rFont val="Symbol"/>
        <family val="1"/>
        <charset val="2"/>
      </rPr>
      <t>s*</t>
    </r>
    <r>
      <rPr>
        <sz val="10"/>
        <rFont val="Arial"/>
        <family val="2"/>
      </rPr>
      <t xml:space="preserve"> =</t>
    </r>
  </si>
  <si>
    <t>Method 1: Arcsine Transformation Approach (Bisgarrd-Fuller)</t>
  </si>
  <si>
    <t>b(r)</t>
  </si>
  <si>
    <t>Reps per run for power =</t>
  </si>
  <si>
    <t>Søren Bisgaard and Ilya Gertsbakh</t>
  </si>
  <si>
    <t>Reps needed for approximation</t>
  </si>
  <si>
    <t>"2^k–p Experiments With Binary Responses:Inverse Binomial Sampling"</t>
  </si>
  <si>
    <t>Recommended Units per run; n =</t>
  </si>
  <si>
    <t>Journal of Quality Technology Vol. 32, No. 2, April 2000</t>
  </si>
  <si>
    <t>Calculations (for SPRT)</t>
  </si>
  <si>
    <t>Total units =</t>
  </si>
  <si>
    <t>p0 (unacceptable defect rate)</t>
  </si>
  <si>
    <t>Wald A (1947) Sequential Analysis. John Wiley and Son, Inc, New York.</t>
  </si>
  <si>
    <t>p1 (acceptable defect rate)</t>
  </si>
  <si>
    <t>beta</t>
  </si>
  <si>
    <t>STAT Ease Binomial Sample Size Calculator</t>
  </si>
  <si>
    <t>alpha</t>
  </si>
  <si>
    <t>Method 2: Signal to Noise Calculations</t>
  </si>
  <si>
    <t>lambda</t>
  </si>
  <si>
    <t>Signal to Noise (Arcsin method)</t>
  </si>
  <si>
    <t>const</t>
  </si>
  <si>
    <t>Signal to Noise (Logit method)</t>
  </si>
  <si>
    <t>A</t>
  </si>
  <si>
    <t>Signal to Noise (Normal method)</t>
  </si>
  <si>
    <t>B</t>
  </si>
  <si>
    <t>Method 3: Inverse Binomial Sampling Scheme (Bisgaard-Gertsbakh)</t>
  </si>
  <si>
    <t>Stopping rule</t>
  </si>
  <si>
    <t>Expected n (if no change)</t>
  </si>
  <si>
    <t>Expected n (if negative change)</t>
  </si>
  <si>
    <t>Expected Total Units (if no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</si>
</sst>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Symbol"/>
      <family val="1"/>
      <charset val="2"/>
    </font>
    <font>
      <sz val="10"/>
      <color rgb="FFFF0000"/>
      <name val="Arial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10"/>
      <name val="Arial"/>
      <family val="2"/>
    </font>
    <font>
      <b/>
      <sz val="12"/>
      <name val="Calibri"/>
      <family val="2"/>
      <scheme val="minor"/>
    </font>
    <font>
      <b/>
      <sz val="22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</font>
    <font>
      <u/>
      <sz val="12"/>
      <color theme="10"/>
      <name val="Arial"/>
      <family val="2"/>
    </font>
    <font>
      <sz val="12"/>
      <color indexed="12"/>
      <name val="Calibri"/>
      <family val="2"/>
      <scheme val="minor"/>
    </font>
    <font>
      <sz val="9"/>
      <color indexed="81"/>
      <name val="Symbol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60497A"/>
        <bgColor indexed="64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2" borderId="1" applyNumberFormat="0" applyAlignment="0" applyProtection="0"/>
    <xf numFmtId="0" fontId="6" fillId="3" borderId="1" applyNumberFormat="0" applyAlignment="0" applyProtection="0"/>
    <xf numFmtId="0" fontId="7" fillId="4" borderId="0" applyNumberFormat="0" applyBorder="0" applyAlignment="0" applyProtection="0"/>
    <xf numFmtId="0" fontId="8" fillId="0" borderId="0"/>
    <xf numFmtId="0" fontId="4" fillId="5" borderId="0" applyNumberFormat="0" applyBorder="0" applyAlignment="0" applyProtection="0"/>
    <xf numFmtId="0" fontId="18" fillId="7" borderId="0" applyNumberFormat="0" applyBorder="0" applyAlignment="0" applyProtection="0"/>
    <xf numFmtId="0" fontId="2" fillId="8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0" fontId="7" fillId="4" borderId="0" xfId="3" applyAlignment="1">
      <alignment horizontal="center"/>
    </xf>
    <xf numFmtId="0" fontId="7" fillId="4" borderId="0" xfId="3"/>
    <xf numFmtId="0" fontId="10" fillId="0" borderId="0" xfId="0" applyFont="1"/>
    <xf numFmtId="0" fontId="6" fillId="3" borderId="1" xfId="2"/>
    <xf numFmtId="0" fontId="8" fillId="0" borderId="0" xfId="4" applyFill="1" applyAlignment="1" applyProtection="1">
      <alignment horizontal="right"/>
      <protection hidden="1"/>
    </xf>
    <xf numFmtId="0" fontId="5" fillId="2" borderId="1" xfId="1" applyAlignment="1" applyProtection="1">
      <alignment horizontal="center"/>
      <protection hidden="1"/>
    </xf>
    <xf numFmtId="0" fontId="8" fillId="0" borderId="0" xfId="0" applyFont="1" applyAlignment="1">
      <alignment horizontal="right"/>
    </xf>
    <xf numFmtId="0" fontId="5" fillId="2" borderId="1" xfId="1" applyAlignment="1">
      <alignment horizontal="center"/>
    </xf>
    <xf numFmtId="0" fontId="13" fillId="0" borderId="0" xfId="4" applyFont="1" applyFill="1" applyProtection="1">
      <protection hidden="1"/>
    </xf>
    <xf numFmtId="0" fontId="7" fillId="4" borderId="2" xfId="3" applyBorder="1" applyAlignment="1">
      <alignment horizontal="center"/>
    </xf>
    <xf numFmtId="0" fontId="14" fillId="6" borderId="0" xfId="4" applyFont="1" applyFill="1" applyAlignment="1" applyProtection="1">
      <alignment horizontal="center" vertical="center" wrapText="1"/>
      <protection hidden="1"/>
    </xf>
    <xf numFmtId="0" fontId="8" fillId="0" borderId="0" xfId="4" applyFill="1" applyProtection="1">
      <protection hidden="1"/>
    </xf>
    <xf numFmtId="0" fontId="4" fillId="5" borderId="2" xfId="5" applyFont="1" applyBorder="1" applyAlignment="1">
      <alignment horizontal="center"/>
    </xf>
    <xf numFmtId="0" fontId="6" fillId="3" borderId="1" xfId="2" applyAlignment="1" applyProtection="1">
      <alignment horizontal="center"/>
      <protection hidden="1"/>
    </xf>
    <xf numFmtId="0" fontId="4" fillId="5" borderId="2" xfId="5" applyFont="1" applyBorder="1" applyAlignment="1">
      <alignment horizontal="right"/>
    </xf>
    <xf numFmtId="0" fontId="6" fillId="3" borderId="1" xfId="2" applyAlignment="1">
      <alignment horizontal="center"/>
    </xf>
    <xf numFmtId="0" fontId="0" fillId="0" borderId="0" xfId="0" applyFill="1"/>
    <xf numFmtId="0" fontId="14" fillId="6" borderId="0" xfId="4" applyFont="1" applyFill="1" applyAlignment="1" applyProtection="1">
      <alignment horizontal="center" vertical="center" wrapText="1"/>
      <protection hidden="1"/>
    </xf>
    <xf numFmtId="0" fontId="3" fillId="5" borderId="2" xfId="5" applyFont="1" applyBorder="1" applyAlignment="1">
      <alignment horizontal="right"/>
    </xf>
    <xf numFmtId="0" fontId="14" fillId="6" borderId="0" xfId="4" applyFont="1" applyFill="1" applyAlignment="1" applyProtection="1">
      <alignment vertical="center" wrapText="1"/>
      <protection hidden="1"/>
    </xf>
    <xf numFmtId="0" fontId="14" fillId="6" borderId="0" xfId="4" applyFont="1" applyFill="1" applyAlignment="1" applyProtection="1">
      <alignment vertical="center"/>
      <protection hidden="1"/>
    </xf>
    <xf numFmtId="0" fontId="17" fillId="0" borderId="0" xfId="0" applyFont="1"/>
    <xf numFmtId="0" fontId="13" fillId="9" borderId="0" xfId="4" applyFont="1" applyFill="1" applyProtection="1">
      <protection hidden="1"/>
    </xf>
    <xf numFmtId="0" fontId="21" fillId="9" borderId="0" xfId="4" applyFont="1" applyFill="1" applyAlignment="1" applyProtection="1">
      <alignment horizontal="center"/>
      <protection hidden="1"/>
    </xf>
    <xf numFmtId="0" fontId="21" fillId="9" borderId="0" xfId="4" applyFont="1" applyFill="1" applyBorder="1" applyAlignment="1" applyProtection="1">
      <alignment horizontal="right"/>
      <protection hidden="1"/>
    </xf>
    <xf numFmtId="0" fontId="22" fillId="9" borderId="0" xfId="4" applyFont="1" applyFill="1" applyAlignment="1" applyProtection="1">
      <alignment horizontal="left" indent="1"/>
      <protection hidden="1"/>
    </xf>
    <xf numFmtId="0" fontId="21" fillId="9" borderId="0" xfId="4" applyFont="1" applyFill="1" applyProtection="1">
      <protection hidden="1"/>
    </xf>
    <xf numFmtId="0" fontId="21" fillId="9" borderId="0" xfId="4" applyFont="1" applyFill="1" applyBorder="1" applyProtection="1">
      <protection hidden="1"/>
    </xf>
    <xf numFmtId="0" fontId="23" fillId="9" borderId="0" xfId="4" applyFont="1" applyFill="1" applyAlignment="1" applyProtection="1">
      <alignment horizontal="left"/>
      <protection hidden="1"/>
    </xf>
    <xf numFmtId="0" fontId="21" fillId="0" borderId="0" xfId="4" applyFont="1" applyProtection="1">
      <protection hidden="1"/>
    </xf>
    <xf numFmtId="0" fontId="8" fillId="9" borderId="0" xfId="4" applyFill="1" applyAlignment="1" applyProtection="1">
      <alignment horizontal="right"/>
      <protection hidden="1"/>
    </xf>
    <xf numFmtId="0" fontId="2" fillId="8" borderId="3" xfId="7" applyFont="1" applyBorder="1" applyAlignment="1" applyProtection="1">
      <alignment horizontal="center"/>
      <protection locked="0"/>
    </xf>
    <xf numFmtId="0" fontId="21" fillId="10" borderId="3" xfId="4" applyFont="1" applyFill="1" applyBorder="1" applyAlignment="1" applyProtection="1">
      <alignment horizontal="center"/>
      <protection hidden="1"/>
    </xf>
    <xf numFmtId="0" fontId="8" fillId="9" borderId="0" xfId="4" applyFont="1" applyFill="1" applyAlignment="1" applyProtection="1">
      <alignment horizontal="right"/>
      <protection hidden="1"/>
    </xf>
    <xf numFmtId="0" fontId="8" fillId="0" borderId="0" xfId="4" applyFont="1" applyFill="1" applyAlignment="1" applyProtection="1">
      <alignment horizontal="right"/>
      <protection hidden="1"/>
    </xf>
    <xf numFmtId="0" fontId="24" fillId="7" borderId="3" xfId="6" applyFont="1" applyBorder="1" applyAlignment="1" applyProtection="1">
      <alignment horizontal="center"/>
      <protection hidden="1"/>
    </xf>
    <xf numFmtId="164" fontId="21" fillId="10" borderId="3" xfId="4" applyNumberFormat="1" applyFont="1" applyFill="1" applyBorder="1" applyAlignment="1" applyProtection="1">
      <alignment horizontal="center"/>
      <protection hidden="1"/>
    </xf>
    <xf numFmtId="0" fontId="19" fillId="4" borderId="3" xfId="3" applyFont="1" applyBorder="1" applyAlignment="1" applyProtection="1">
      <alignment horizontal="center"/>
      <protection hidden="1"/>
    </xf>
    <xf numFmtId="0" fontId="9" fillId="0" borderId="0" xfId="4" applyFont="1" applyFill="1" applyAlignment="1" applyProtection="1">
      <alignment horizontal="right"/>
      <protection hidden="1"/>
    </xf>
    <xf numFmtId="0" fontId="23" fillId="9" borderId="0" xfId="4" applyFont="1" applyFill="1" applyProtection="1">
      <protection hidden="1"/>
    </xf>
    <xf numFmtId="2" fontId="21" fillId="10" borderId="3" xfId="4" applyNumberFormat="1" applyFont="1" applyFill="1" applyBorder="1" applyAlignment="1" applyProtection="1">
      <alignment horizontal="center"/>
      <protection hidden="1"/>
    </xf>
    <xf numFmtId="0" fontId="21" fillId="9" borderId="0" xfId="4" applyFont="1" applyFill="1" applyAlignment="1" applyProtection="1">
      <alignment horizontal="left"/>
      <protection hidden="1"/>
    </xf>
    <xf numFmtId="0" fontId="25" fillId="9" borderId="0" xfId="4" applyFont="1" applyFill="1" applyProtection="1">
      <protection hidden="1"/>
    </xf>
    <xf numFmtId="0" fontId="13" fillId="9" borderId="0" xfId="4" applyFont="1" applyFill="1" applyAlignment="1" applyProtection="1">
      <alignment horizontal="left"/>
      <protection hidden="1"/>
    </xf>
    <xf numFmtId="0" fontId="21" fillId="0" borderId="0" xfId="4" applyFont="1" applyFill="1" applyBorder="1" applyProtection="1">
      <protection hidden="1"/>
    </xf>
    <xf numFmtId="0" fontId="22" fillId="9" borderId="0" xfId="4" applyFont="1" applyFill="1" applyBorder="1" applyAlignment="1" applyProtection="1">
      <alignment horizontal="left"/>
      <protection hidden="1"/>
    </xf>
    <xf numFmtId="0" fontId="22" fillId="9" borderId="0" xfId="4" applyFont="1" applyFill="1" applyAlignment="1" applyProtection="1">
      <alignment horizontal="left"/>
      <protection hidden="1"/>
    </xf>
    <xf numFmtId="0" fontId="21" fillId="9" borderId="0" xfId="4" applyFont="1" applyFill="1" applyAlignment="1" applyProtection="1">
      <protection hidden="1"/>
    </xf>
    <xf numFmtId="0" fontId="27" fillId="9" borderId="0" xfId="8" applyFont="1" applyFill="1" applyAlignment="1" applyProtection="1">
      <protection hidden="1"/>
    </xf>
    <xf numFmtId="165" fontId="24" fillId="7" borderId="3" xfId="6" applyNumberFormat="1" applyFont="1" applyBorder="1" applyAlignment="1" applyProtection="1">
      <alignment horizontal="center"/>
      <protection hidden="1"/>
    </xf>
    <xf numFmtId="0" fontId="27" fillId="9" borderId="0" xfId="8" applyFont="1" applyFill="1" applyBorder="1" applyAlignment="1" applyProtection="1">
      <protection hidden="1"/>
    </xf>
    <xf numFmtId="165" fontId="19" fillId="4" borderId="3" xfId="3" applyNumberFormat="1" applyFont="1" applyBorder="1" applyAlignment="1" applyProtection="1">
      <alignment horizontal="center"/>
      <protection hidden="1"/>
    </xf>
    <xf numFmtId="165" fontId="19" fillId="9" borderId="0" xfId="3" applyNumberFormat="1" applyFont="1" applyFill="1" applyBorder="1" applyAlignment="1" applyProtection="1">
      <alignment horizontal="center"/>
      <protection hidden="1"/>
    </xf>
    <xf numFmtId="1" fontId="24" fillId="7" borderId="3" xfId="6" applyNumberFormat="1" applyFont="1" applyBorder="1" applyAlignment="1" applyProtection="1">
      <alignment horizontal="center"/>
      <protection hidden="1"/>
    </xf>
    <xf numFmtId="0" fontId="20" fillId="9" borderId="0" xfId="8" applyFill="1" applyAlignment="1" applyProtection="1">
      <protection hidden="1"/>
    </xf>
    <xf numFmtId="0" fontId="28" fillId="9" borderId="0" xfId="4" applyFont="1" applyFill="1" applyBorder="1" applyProtection="1">
      <protection hidden="1"/>
    </xf>
    <xf numFmtId="0" fontId="21" fillId="0" borderId="0" xfId="4" applyFont="1" applyFill="1" applyProtection="1">
      <protection hidden="1"/>
    </xf>
    <xf numFmtId="0" fontId="8" fillId="0" borderId="0" xfId="4" applyFill="1" applyAlignment="1" applyProtection="1">
      <alignment horizontal="center"/>
      <protection hidden="1"/>
    </xf>
    <xf numFmtId="0" fontId="21" fillId="0" borderId="0" xfId="4" applyFont="1" applyFill="1" applyAlignment="1" applyProtection="1">
      <alignment horizontal="center"/>
      <protection hidden="1"/>
    </xf>
    <xf numFmtId="0" fontId="8" fillId="0" borderId="0" xfId="4" applyAlignment="1" applyProtection="1">
      <alignment horizontal="center"/>
      <protection hidden="1"/>
    </xf>
    <xf numFmtId="0" fontId="21" fillId="0" borderId="0" xfId="4" applyFont="1" applyAlignment="1" applyProtection="1">
      <alignment horizontal="center"/>
      <protection hidden="1"/>
    </xf>
    <xf numFmtId="0" fontId="14" fillId="6" borderId="0" xfId="4" applyFont="1" applyFill="1" applyAlignment="1" applyProtection="1">
      <alignment horizontal="center" vertical="center" wrapText="1"/>
      <protection hidden="1"/>
    </xf>
  </cellXfs>
  <cellStyles count="9">
    <cellStyle name="40% - Accent1 2" xfId="5"/>
    <cellStyle name="40% - Accent5 3" xfId="7"/>
    <cellStyle name="Accent1" xfId="3" builtinId="29"/>
    <cellStyle name="Calculation" xfId="2" builtinId="22"/>
    <cellStyle name="Good" xfId="6" builtinId="26"/>
    <cellStyle name="Hyperlink 2" xfId="8"/>
    <cellStyle name="Input" xfId="1" builtinId="20"/>
    <cellStyle name="Normal" xfId="0" builtinId="0"/>
    <cellStyle name="Normal 3" xfId="4"/>
  </cellStyles>
  <dxfs count="0"/>
  <tableStyles count="0" defaultTableStyle="TableStyleMedium2" defaultPivotStyle="PivotStyleLight16"/>
  <colors>
    <mruColors>
      <color rgb="FF6049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'Calculator v.2.0'!$J$18</c:f>
              <c:strCache>
                <c:ptCount val="1"/>
                <c:pt idx="0">
                  <c:v>Normal</c:v>
                </c:pt>
              </c:strCache>
            </c:strRef>
          </c:tx>
          <c:marker>
            <c:symbol val="none"/>
          </c:marker>
          <c:xVal>
            <c:numRef>
              <c:f>'Calculator v.2.0'!$I$19:$I$118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'Calculator v.2.0'!$J$19:$J$118</c:f>
              <c:numCache>
                <c:formatCode>0.00</c:formatCode>
                <c:ptCount val="100"/>
                <c:pt idx="0">
                  <c:v>0.66333333333333322</c:v>
                </c:pt>
                <c:pt idx="1">
                  <c:v>0.93809499637415295</c:v>
                </c:pt>
                <c:pt idx="2">
                  <c:v>1.1489270356873551</c:v>
                </c:pt>
                <c:pt idx="3">
                  <c:v>1.3266666666666664</c:v>
                </c:pt>
                <c:pt idx="4">
                  <c:v>1.4832584250748604</c:v>
                </c:pt>
                <c:pt idx="5">
                  <c:v>1.6248281960461746</c:v>
                </c:pt>
                <c:pt idx="6">
                  <c:v>1.7550150363395116</c:v>
                </c:pt>
                <c:pt idx="7">
                  <c:v>1.8761899927483059</c:v>
                </c:pt>
                <c:pt idx="8">
                  <c:v>1.9899999999999998</c:v>
                </c:pt>
                <c:pt idx="9">
                  <c:v>2.0976441812450246</c:v>
                </c:pt>
                <c:pt idx="10">
                  <c:v>2.2000277776024149</c:v>
                </c:pt>
                <c:pt idx="11">
                  <c:v>2.2978540713747102</c:v>
                </c:pt>
                <c:pt idx="12">
                  <c:v>2.3916823460577792</c:v>
                </c:pt>
                <c:pt idx="13">
                  <c:v>2.4819660665600471</c:v>
                </c:pt>
                <c:pt idx="14">
                  <c:v>2.5690789529842526</c:v>
                </c:pt>
                <c:pt idx="15">
                  <c:v>2.6533333333333329</c:v>
                </c:pt>
                <c:pt idx="16">
                  <c:v>2.7349933983263814</c:v>
                </c:pt>
                <c:pt idx="17">
                  <c:v>2.8142849891224584</c:v>
                </c:pt>
                <c:pt idx="18">
                  <c:v>2.8914029658819795</c:v>
                </c:pt>
                <c:pt idx="19">
                  <c:v>2.9665168501497208</c:v>
                </c:pt>
                <c:pt idx="20">
                  <c:v>3.0397752109873735</c:v>
                </c:pt>
                <c:pt idx="21">
                  <c:v>3.1113091206828742</c:v>
                </c:pt>
                <c:pt idx="22">
                  <c:v>3.1812349104641036</c:v>
                </c:pt>
                <c:pt idx="23">
                  <c:v>3.2496563920923491</c:v>
                </c:pt>
                <c:pt idx="24">
                  <c:v>3.316666666666666</c:v>
                </c:pt>
                <c:pt idx="25">
                  <c:v>3.3823496106832134</c:v>
                </c:pt>
                <c:pt idx="26">
                  <c:v>3.4467811070620655</c:v>
                </c:pt>
                <c:pt idx="27">
                  <c:v>3.5100300726790232</c:v>
                </c:pt>
                <c:pt idx="28">
                  <c:v>3.5721593220658869</c:v>
                </c:pt>
                <c:pt idx="29">
                  <c:v>3.6332262981176013</c:v>
                </c:pt>
                <c:pt idx="30">
                  <c:v>3.6932836940105807</c:v>
                </c:pt>
                <c:pt idx="31">
                  <c:v>3.7523799854966118</c:v>
                </c:pt>
                <c:pt idx="32">
                  <c:v>3.810559888870225</c:v>
                </c:pt>
                <c:pt idx="33">
                  <c:v>3.8678647569140487</c:v>
                </c:pt>
                <c:pt idx="34">
                  <c:v>3.9243329227894117</c:v>
                </c:pt>
                <c:pt idx="35">
                  <c:v>3.9799999999999995</c:v>
                </c:pt>
                <c:pt idx="36">
                  <c:v>4.0348991450978184</c:v>
                </c:pt>
                <c:pt idx="37">
                  <c:v>4.0890612886360866</c:v>
                </c:pt>
                <c:pt idx="38">
                  <c:v>4.1425153389376037</c:v>
                </c:pt>
                <c:pt idx="39">
                  <c:v>4.1952883624900492</c:v>
                </c:pt>
                <c:pt idx="40">
                  <c:v>4.2474057441637889</c:v>
                </c:pt>
                <c:pt idx="41">
                  <c:v>4.2988913299438796</c:v>
                </c:pt>
                <c:pt idx="42">
                  <c:v>4.3497675544536598</c:v>
                </c:pt>
                <c:pt idx="43">
                  <c:v>4.4000555552048297</c:v>
                </c:pt>
                <c:pt idx="44">
                  <c:v>4.4497752752245807</c:v>
                </c:pt>
                <c:pt idx="45">
                  <c:v>4.4989455554730942</c:v>
                </c:pt>
                <c:pt idx="46">
                  <c:v>4.5475842182660253</c:v>
                </c:pt>
                <c:pt idx="47">
                  <c:v>4.5957081427494204</c:v>
                </c:pt>
                <c:pt idx="48">
                  <c:v>4.6433333333333326</c:v>
                </c:pt>
                <c:pt idx="49">
                  <c:v>4.6904749818707643</c:v>
                </c:pt>
                <c:pt idx="50">
                  <c:v>4.7371475242667564</c:v>
                </c:pt>
                <c:pt idx="51">
                  <c:v>4.7833646921155584</c:v>
                </c:pt>
                <c:pt idx="52">
                  <c:v>4.82913955988941</c:v>
                </c:pt>
                <c:pt idx="53">
                  <c:v>4.8744845881385235</c:v>
                </c:pt>
                <c:pt idx="54">
                  <c:v>4.9194116631067892</c:v>
                </c:pt>
                <c:pt idx="55">
                  <c:v>4.9639321331200943</c:v>
                </c:pt>
                <c:pt idx="56">
                  <c:v>5.0080568420629294</c:v>
                </c:pt>
                <c:pt idx="57">
                  <c:v>5.0517961602230583</c:v>
                </c:pt>
                <c:pt idx="58">
                  <c:v>5.0951600127528431</c:v>
                </c:pt>
                <c:pt idx="59">
                  <c:v>5.1381579059685052</c:v>
                </c:pt>
                <c:pt idx="60">
                  <c:v>5.1807989516847464</c:v>
                </c:pt>
                <c:pt idx="61">
                  <c:v>5.2230918897611671</c:v>
                </c:pt>
                <c:pt idx="62">
                  <c:v>5.2650451090185344</c:v>
                </c:pt>
                <c:pt idx="63">
                  <c:v>5.3066666666666658</c:v>
                </c:pt>
                <c:pt idx="64">
                  <c:v>5.3479643063713711</c:v>
                </c:pt>
                <c:pt idx="65">
                  <c:v>5.3889454750751868</c:v>
                </c:pt>
                <c:pt idx="66">
                  <c:v>5.4296173386753912</c:v>
                </c:pt>
                <c:pt idx="67">
                  <c:v>5.4699867966527629</c:v>
                </c:pt>
                <c:pt idx="68">
                  <c:v>5.5100604957356554</c:v>
                </c:pt>
                <c:pt idx="69">
                  <c:v>5.5498448426760332</c:v>
                </c:pt>
                <c:pt idx="70">
                  <c:v>5.5893460162069832</c:v>
                </c:pt>
                <c:pt idx="71">
                  <c:v>5.6285699782449168</c:v>
                </c:pt>
                <c:pt idx="72">
                  <c:v>5.6675224843939613</c:v>
                </c:pt>
                <c:pt idx="73">
                  <c:v>5.7062090938049419</c:v>
                </c:pt>
                <c:pt idx="74">
                  <c:v>5.7446351784367762</c:v>
                </c:pt>
                <c:pt idx="75">
                  <c:v>5.7828059317639591</c:v>
                </c:pt>
                <c:pt idx="76">
                  <c:v>5.8207263769701072</c:v>
                </c:pt>
                <c:pt idx="77">
                  <c:v>5.8584013746641386</c:v>
                </c:pt>
                <c:pt idx="78">
                  <c:v>5.8958356301526722</c:v>
                </c:pt>
                <c:pt idx="79">
                  <c:v>5.9330337002994415</c:v>
                </c:pt>
                <c:pt idx="80">
                  <c:v>5.9699999999999989</c:v>
                </c:pt>
                <c:pt idx="81">
                  <c:v>6.0067388082978193</c:v>
                </c:pt>
                <c:pt idx="82">
                  <c:v>6.0432542741657178</c:v>
                </c:pt>
                <c:pt idx="83">
                  <c:v>6.0795504219747469</c:v>
                </c:pt>
                <c:pt idx="84">
                  <c:v>6.1156311566709487</c:v>
                </c:pt>
                <c:pt idx="85">
                  <c:v>6.1515002686788165</c:v>
                </c:pt>
                <c:pt idx="86">
                  <c:v>6.1871614385489133</c:v>
                </c:pt>
                <c:pt idx="87">
                  <c:v>6.2226182413657485</c:v>
                </c:pt>
                <c:pt idx="88">
                  <c:v>6.2578741509308795</c:v>
                </c:pt>
                <c:pt idx="89">
                  <c:v>6.2929325437350743</c:v>
                </c:pt>
                <c:pt idx="90">
                  <c:v>6.3277967027324058</c:v>
                </c:pt>
                <c:pt idx="91">
                  <c:v>6.3624698209282071</c:v>
                </c:pt>
                <c:pt idx="92">
                  <c:v>6.3969550047919927</c:v>
                </c:pt>
                <c:pt idx="93">
                  <c:v>6.4312552775056622</c:v>
                </c:pt>
                <c:pt idx="94">
                  <c:v>6.4653735820566114</c:v>
                </c:pt>
                <c:pt idx="95">
                  <c:v>6.4993127841846983</c:v>
                </c:pt>
                <c:pt idx="96">
                  <c:v>6.533075675191415</c:v>
                </c:pt>
                <c:pt idx="97">
                  <c:v>6.5666649746190702</c:v>
                </c:pt>
                <c:pt idx="98">
                  <c:v>6.6000833328072455</c:v>
                </c:pt>
                <c:pt idx="99">
                  <c:v>6.633333333333332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B9-4595-A4C9-55B7B7FBF322}"/>
            </c:ext>
          </c:extLst>
        </c:ser>
        <c:ser>
          <c:idx val="1"/>
          <c:order val="1"/>
          <c:tx>
            <c:strRef>
              <c:f>'Calculator v.2.0'!$K$18</c:f>
              <c:strCache>
                <c:ptCount val="1"/>
                <c:pt idx="0">
                  <c:v>Arcsin</c:v>
                </c:pt>
              </c:strCache>
            </c:strRef>
          </c:tx>
          <c:marker>
            <c:symbol val="none"/>
          </c:marker>
          <c:xVal>
            <c:numRef>
              <c:f>'Calculator v.2.0'!$I$19:$I$118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'Calculator v.2.0'!$K$19:$K$118</c:f>
              <c:numCache>
                <c:formatCode>0.00</c:formatCode>
                <c:ptCount val="100"/>
                <c:pt idx="0">
                  <c:v>0.8640391191264718</c:v>
                </c:pt>
                <c:pt idx="1">
                  <c:v>1.2219358406895586</c:v>
                </c:pt>
                <c:pt idx="2">
                  <c:v>1.4965596540541068</c:v>
                </c:pt>
                <c:pt idx="3">
                  <c:v>1.7280782382529436</c:v>
                </c:pt>
                <c:pt idx="4">
                  <c:v>1.9320502055858297</c:v>
                </c:pt>
                <c:pt idx="5">
                  <c:v>2.116454959663705</c:v>
                </c:pt>
                <c:pt idx="6">
                  <c:v>2.2860326322399569</c:v>
                </c:pt>
                <c:pt idx="7">
                  <c:v>2.4438716813791173</c:v>
                </c:pt>
                <c:pt idx="8">
                  <c:v>2.5921173573794154</c:v>
                </c:pt>
                <c:pt idx="9">
                  <c:v>2.7323316039252066</c:v>
                </c:pt>
                <c:pt idx="10">
                  <c:v>2.8656935623316988</c:v>
                </c:pt>
                <c:pt idx="11">
                  <c:v>2.9931193081082137</c:v>
                </c:pt>
                <c:pt idx="12">
                  <c:v>3.1153373480172322</c:v>
                </c:pt>
                <c:pt idx="13">
                  <c:v>3.2329383525412125</c:v>
                </c:pt>
                <c:pt idx="14">
                  <c:v>3.3464091188485519</c:v>
                </c:pt>
                <c:pt idx="15">
                  <c:v>3.4561564765058872</c:v>
                </c:pt>
                <c:pt idx="16">
                  <c:v>3.5625245528240841</c:v>
                </c:pt>
                <c:pt idx="17">
                  <c:v>3.6658075220686763</c:v>
                </c:pt>
                <c:pt idx="18">
                  <c:v>3.7662592035381919</c:v>
                </c:pt>
                <c:pt idx="19">
                  <c:v>3.8641004111716595</c:v>
                </c:pt>
                <c:pt idx="20">
                  <c:v>3.9595246668000237</c:v>
                </c:pt>
                <c:pt idx="21">
                  <c:v>4.0527027014547565</c:v>
                </c:pt>
                <c:pt idx="22">
                  <c:v>4.1437860448820878</c:v>
                </c:pt>
                <c:pt idx="23">
                  <c:v>4.23290991932741</c:v>
                </c:pt>
                <c:pt idx="24">
                  <c:v>4.3201955956323586</c:v>
                </c:pt>
                <c:pt idx="25">
                  <c:v>4.4057523289334002</c:v>
                </c:pt>
                <c:pt idx="26">
                  <c:v>4.4896789621623201</c:v>
                </c:pt>
                <c:pt idx="27">
                  <c:v>4.5720652644799138</c:v>
                </c:pt>
                <c:pt idx="28">
                  <c:v>4.6529930563073734</c:v>
                </c:pt>
                <c:pt idx="29">
                  <c:v>4.732537161124621</c:v>
                </c:pt>
                <c:pt idx="30">
                  <c:v>4.8107662155634134</c:v>
                </c:pt>
                <c:pt idx="31">
                  <c:v>4.8877433627582345</c:v>
                </c:pt>
                <c:pt idx="32">
                  <c:v>4.9635268488815516</c:v>
                </c:pt>
                <c:pt idx="33">
                  <c:v>5.0381705388909648</c:v>
                </c:pt>
                <c:pt idx="34">
                  <c:v>5.1117243644713213</c:v>
                </c:pt>
                <c:pt idx="35">
                  <c:v>5.1842347147588308</c:v>
                </c:pt>
                <c:pt idx="36">
                  <c:v>5.2557447785343827</c:v>
                </c:pt>
                <c:pt idx="37">
                  <c:v>5.3262948450562018</c:v>
                </c:pt>
                <c:pt idx="38">
                  <c:v>5.3959225694827317</c:v>
                </c:pt>
                <c:pt idx="39">
                  <c:v>5.4646632078504132</c:v>
                </c:pt>
                <c:pt idx="40">
                  <c:v>5.5325498257688395</c:v>
                </c:pt>
                <c:pt idx="41">
                  <c:v>5.599613484339403</c:v>
                </c:pt>
                <c:pt idx="42">
                  <c:v>5.6658834062638919</c:v>
                </c:pt>
                <c:pt idx="43">
                  <c:v>5.7313871246633976</c:v>
                </c:pt>
                <c:pt idx="44">
                  <c:v>5.7961506167574885</c:v>
                </c:pt>
                <c:pt idx="45">
                  <c:v>5.860198424244615</c:v>
                </c:pt>
                <c:pt idx="46">
                  <c:v>5.923553761965862</c:v>
                </c:pt>
                <c:pt idx="47">
                  <c:v>5.9862386162164274</c:v>
                </c:pt>
                <c:pt idx="48">
                  <c:v>6.048273833885303</c:v>
                </c:pt>
                <c:pt idx="49">
                  <c:v>6.1096792034477936</c:v>
                </c:pt>
                <c:pt idx="50">
                  <c:v>6.1704735287029084</c:v>
                </c:pt>
                <c:pt idx="51">
                  <c:v>6.2306746960344643</c:v>
                </c:pt>
                <c:pt idx="52">
                  <c:v>6.2902997358778547</c:v>
                </c:pt>
                <c:pt idx="53">
                  <c:v>6.3493648789911159</c:v>
                </c:pt>
                <c:pt idx="54">
                  <c:v>6.4078856080572093</c:v>
                </c:pt>
                <c:pt idx="55">
                  <c:v>6.4658767050824251</c:v>
                </c:pt>
                <c:pt idx="56">
                  <c:v>6.5233522950020424</c:v>
                </c:pt>
                <c:pt idx="57">
                  <c:v>6.580325885857726</c:v>
                </c:pt>
                <c:pt idx="58">
                  <c:v>6.6368104058704374</c:v>
                </c:pt>
                <c:pt idx="59">
                  <c:v>6.6928182376971037</c:v>
                </c:pt>
                <c:pt idx="60">
                  <c:v>6.7483612501281973</c:v>
                </c:pt>
                <c:pt idx="61">
                  <c:v>6.8034508274560679</c:v>
                </c:pt>
                <c:pt idx="62">
                  <c:v>6.8580978967198698</c:v>
                </c:pt>
                <c:pt idx="63">
                  <c:v>6.9123129530117744</c:v>
                </c:pt>
                <c:pt idx="64">
                  <c:v>6.9661060830104509</c:v>
                </c:pt>
                <c:pt idx="65">
                  <c:v>7.0194869868912821</c:v>
                </c:pt>
                <c:pt idx="66">
                  <c:v>7.0724649987480959</c:v>
                </c:pt>
                <c:pt idx="67">
                  <c:v>7.1250491056481682</c:v>
                </c:pt>
                <c:pt idx="68">
                  <c:v>7.1772479654306638</c:v>
                </c:pt>
                <c:pt idx="69">
                  <c:v>7.229069923348332</c:v>
                </c:pt>
                <c:pt idx="70">
                  <c:v>7.2805230276430208</c:v>
                </c:pt>
                <c:pt idx="71">
                  <c:v>7.3316150441373527</c:v>
                </c:pt>
                <c:pt idx="72">
                  <c:v>7.3823534699174358</c:v>
                </c:pt>
                <c:pt idx="73">
                  <c:v>7.4327455461749024</c:v>
                </c:pt>
                <c:pt idx="74">
                  <c:v>7.4827982702705338</c:v>
                </c:pt>
                <c:pt idx="75">
                  <c:v>7.5325184070763838</c:v>
                </c:pt>
                <c:pt idx="76">
                  <c:v>7.5819124996484497</c:v>
                </c:pt>
                <c:pt idx="77">
                  <c:v>7.6309868792775584</c:v>
                </c:pt>
                <c:pt idx="78">
                  <c:v>7.6797476749621856</c:v>
                </c:pt>
                <c:pt idx="79">
                  <c:v>7.728200822343319</c:v>
                </c:pt>
                <c:pt idx="80">
                  <c:v>7.7763520721382466</c:v>
                </c:pt>
                <c:pt idx="81">
                  <c:v>7.8242069981071971</c:v>
                </c:pt>
                <c:pt idx="82">
                  <c:v>7.8717710045840699</c:v>
                </c:pt>
                <c:pt idx="83">
                  <c:v>7.9190493336000474</c:v>
                </c:pt>
                <c:pt idx="84">
                  <c:v>7.9660470716266918</c:v>
                </c:pt>
                <c:pt idx="85">
                  <c:v>8.0127691559630652</c:v>
                </c:pt>
                <c:pt idx="86">
                  <c:v>8.059220380789565</c:v>
                </c:pt>
                <c:pt idx="87">
                  <c:v>8.1054054029095131</c:v>
                </c:pt>
                <c:pt idx="88">
                  <c:v>8.1513287471979421</c:v>
                </c:pt>
                <c:pt idx="89">
                  <c:v>8.1969948117756211</c:v>
                </c:pt>
                <c:pt idx="90">
                  <c:v>8.2424078729250763</c:v>
                </c:pt>
                <c:pt idx="91">
                  <c:v>8.2875720897641756</c:v>
                </c:pt>
                <c:pt idx="92">
                  <c:v>8.3324915086916818</c:v>
                </c:pt>
                <c:pt idx="93">
                  <c:v>8.377170067618291</c:v>
                </c:pt>
                <c:pt idx="94">
                  <c:v>8.4216115999956145</c:v>
                </c:pt>
                <c:pt idx="95">
                  <c:v>8.46581983865482</c:v>
                </c:pt>
                <c:pt idx="96">
                  <c:v>8.5097984194657865</c:v>
                </c:pt>
                <c:pt idx="97">
                  <c:v>8.5535508848269117</c:v>
                </c:pt>
                <c:pt idx="98">
                  <c:v>8.5970806869950973</c:v>
                </c:pt>
                <c:pt idx="99">
                  <c:v>8.6403911912647171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B9-4595-A4C9-55B7B7FBF322}"/>
            </c:ext>
          </c:extLst>
        </c:ser>
        <c:ser>
          <c:idx val="2"/>
          <c:order val="2"/>
          <c:tx>
            <c:strRef>
              <c:f>'Calculator v.2.0'!$L$18</c:f>
              <c:strCache>
                <c:ptCount val="1"/>
                <c:pt idx="0">
                  <c:v>Logit</c:v>
                </c:pt>
              </c:strCache>
            </c:strRef>
          </c:tx>
          <c:marker>
            <c:symbol val="none"/>
          </c:marker>
          <c:xVal>
            <c:numRef>
              <c:f>'Calculator v.2.0'!$I$19:$I$118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'Calculator v.2.0'!$L$19:$L$118</c:f>
              <c:numCache>
                <c:formatCode>0.00</c:formatCode>
                <c:ptCount val="100"/>
                <c:pt idx="0">
                  <c:v>1.6561381252585985</c:v>
                </c:pt>
                <c:pt idx="1">
                  <c:v>2.3421329979038616</c:v>
                </c:pt>
                <c:pt idx="2">
                  <c:v>2.868515377299762</c:v>
                </c:pt>
                <c:pt idx="3">
                  <c:v>3.312276250517197</c:v>
                </c:pt>
                <c:pt idx="4">
                  <c:v>3.7032374282072875</c:v>
                </c:pt>
                <c:pt idx="5">
                  <c:v>4.0566933504530995</c:v>
                </c:pt>
                <c:pt idx="6">
                  <c:v>4.3817296162069903</c:v>
                </c:pt>
                <c:pt idx="7">
                  <c:v>4.6842659958077233</c:v>
                </c:pt>
                <c:pt idx="8">
                  <c:v>4.9684143757757955</c:v>
                </c:pt>
                <c:pt idx="9">
                  <c:v>5.2371685956584075</c:v>
                </c:pt>
                <c:pt idx="10">
                  <c:v>5.4927887624853851</c:v>
                </c:pt>
                <c:pt idx="11">
                  <c:v>5.7370307545995241</c:v>
                </c:pt>
                <c:pt idx="12">
                  <c:v>5.9712909298706798</c:v>
                </c:pt>
                <c:pt idx="13">
                  <c:v>6.1967014498917825</c:v>
                </c:pt>
                <c:pt idx="14">
                  <c:v>6.4141953781457248</c:v>
                </c:pt>
                <c:pt idx="15">
                  <c:v>6.624552501034394</c:v>
                </c:pt>
                <c:pt idx="16">
                  <c:v>6.8284324210536136</c:v>
                </c:pt>
                <c:pt idx="17">
                  <c:v>7.0263989937115854</c:v>
                </c:pt>
                <c:pt idx="18">
                  <c:v>7.2189387245471375</c:v>
                </c:pt>
                <c:pt idx="19">
                  <c:v>7.406474856414575</c:v>
                </c:pt>
                <c:pt idx="20">
                  <c:v>7.5893783202997849</c:v>
                </c:pt>
                <c:pt idx="21">
                  <c:v>7.7679763631573602</c:v>
                </c:pt>
                <c:pt idx="22">
                  <c:v>7.9425594280752163</c:v>
                </c:pt>
                <c:pt idx="23">
                  <c:v>8.1133867009061991</c:v>
                </c:pt>
                <c:pt idx="24">
                  <c:v>8.2806906262929925</c:v>
                </c:pt>
                <c:pt idx="25">
                  <c:v>8.4446806178985643</c:v>
                </c:pt>
                <c:pt idx="26">
                  <c:v>8.6055461318992865</c:v>
                </c:pt>
                <c:pt idx="27">
                  <c:v>8.7634592324139806</c:v>
                </c:pt>
                <c:pt idx="28">
                  <c:v>8.9185767478963189</c:v>
                </c:pt>
                <c:pt idx="29">
                  <c:v>9.0710420954845077</c:v>
                </c:pt>
                <c:pt idx="30">
                  <c:v>9.220986833738948</c:v>
                </c:pt>
                <c:pt idx="31">
                  <c:v>9.3685319916154466</c:v>
                </c:pt>
                <c:pt idx="32">
                  <c:v>9.5137892118680636</c:v>
                </c:pt>
                <c:pt idx="33">
                  <c:v>9.6568617396021672</c:v>
                </c:pt>
                <c:pt idx="34">
                  <c:v>9.7978452808628944</c:v>
                </c:pt>
                <c:pt idx="35">
                  <c:v>9.936828751551591</c:v>
                </c:pt>
                <c:pt idx="36">
                  <c:v>10.073894933321343</c:v>
                </c:pt>
                <c:pt idx="37">
                  <c:v>10.209121050194893</c:v>
                </c:pt>
                <c:pt idx="38">
                  <c:v>10.342579277311224</c:v>
                </c:pt>
                <c:pt idx="39">
                  <c:v>10.474337191316815</c:v>
                </c:pt>
                <c:pt idx="40">
                  <c:v>10.604458170379932</c:v>
                </c:pt>
                <c:pt idx="41">
                  <c:v>10.733001750548295</c:v>
                </c:pt>
                <c:pt idx="42">
                  <c:v>10.860023944136026</c:v>
                </c:pt>
                <c:pt idx="43">
                  <c:v>10.98557752497077</c:v>
                </c:pt>
                <c:pt idx="44">
                  <c:v>11.109712284621864</c:v>
                </c:pt>
                <c:pt idx="45">
                  <c:v>11.232475263138264</c:v>
                </c:pt>
                <c:pt idx="46">
                  <c:v>11.353910957328672</c:v>
                </c:pt>
                <c:pt idx="47">
                  <c:v>11.474061509199048</c:v>
                </c:pt>
                <c:pt idx="48">
                  <c:v>11.592966876810189</c:v>
                </c:pt>
                <c:pt idx="49">
                  <c:v>11.710664989519309</c:v>
                </c:pt>
                <c:pt idx="50">
                  <c:v>11.827191889315415</c:v>
                </c:pt>
                <c:pt idx="51">
                  <c:v>11.94258185974136</c:v>
                </c:pt>
                <c:pt idx="52">
                  <c:v>12.056867543709622</c:v>
                </c:pt>
                <c:pt idx="53">
                  <c:v>12.170080051359299</c:v>
                </c:pt>
                <c:pt idx="54">
                  <c:v>12.282249058964267</c:v>
                </c:pt>
                <c:pt idx="55">
                  <c:v>12.393402899783565</c:v>
                </c:pt>
                <c:pt idx="56">
                  <c:v>12.50356864764211</c:v>
                </c:pt>
                <c:pt idx="57">
                  <c:v>12.612772193940307</c:v>
                </c:pt>
                <c:pt idx="58">
                  <c:v>12.721038318713171</c:v>
                </c:pt>
                <c:pt idx="59">
                  <c:v>12.82839075629145</c:v>
                </c:pt>
                <c:pt idx="60">
                  <c:v>12.934852256057622</c:v>
                </c:pt>
                <c:pt idx="61">
                  <c:v>13.040444638737362</c:v>
                </c:pt>
                <c:pt idx="62">
                  <c:v>13.145188848620972</c:v>
                </c:pt>
                <c:pt idx="63">
                  <c:v>13.249105002068788</c:v>
                </c:pt>
                <c:pt idx="64">
                  <c:v>13.352212432618769</c:v>
                </c:pt>
                <c:pt idx="65">
                  <c:v>13.454529732982655</c:v>
                </c:pt>
                <c:pt idx="66">
                  <c:v>13.556074794189113</c:v>
                </c:pt>
                <c:pt idx="67">
                  <c:v>13.656864842107227</c:v>
                </c:pt>
                <c:pt idx="68">
                  <c:v>13.756916471561478</c:v>
                </c:pt>
                <c:pt idx="69">
                  <c:v>13.856245678229531</c:v>
                </c:pt>
                <c:pt idx="70">
                  <c:v>13.954867888496459</c:v>
                </c:pt>
                <c:pt idx="71">
                  <c:v>14.052797987423171</c:v>
                </c:pt>
                <c:pt idx="72">
                  <c:v>14.15005034497262</c:v>
                </c:pt>
                <c:pt idx="73">
                  <c:v>14.24663884062465</c:v>
                </c:pt>
                <c:pt idx="74">
                  <c:v>14.342576886498811</c:v>
                </c:pt>
                <c:pt idx="75">
                  <c:v>14.437877449094275</c:v>
                </c:pt>
                <c:pt idx="76">
                  <c:v>14.532553069746555</c:v>
                </c:pt>
                <c:pt idx="77">
                  <c:v>14.626615883892457</c:v>
                </c:pt>
                <c:pt idx="78">
                  <c:v>14.720077639226982</c:v>
                </c:pt>
                <c:pt idx="79">
                  <c:v>14.81294971282915</c:v>
                </c:pt>
                <c:pt idx="80">
                  <c:v>14.905243127327388</c:v>
                </c:pt>
                <c:pt idx="81">
                  <c:v>14.996968566169476</c:v>
                </c:pt>
                <c:pt idx="82">
                  <c:v>15.088136388057023</c:v>
                </c:pt>
                <c:pt idx="83">
                  <c:v>15.17875664059957</c:v>
                </c:pt>
                <c:pt idx="84">
                  <c:v>15.268839073239347</c:v>
                </c:pt>
                <c:pt idx="85">
                  <c:v>15.35839314949372</c:v>
                </c:pt>
                <c:pt idx="86">
                  <c:v>15.447428058558833</c:v>
                </c:pt>
                <c:pt idx="87">
                  <c:v>15.53595272631472</c:v>
                </c:pt>
                <c:pt idx="88">
                  <c:v>15.623975825769216</c:v>
                </c:pt>
                <c:pt idx="89">
                  <c:v>15.711505786975223</c:v>
                </c:pt>
                <c:pt idx="90">
                  <c:v>15.798550806453449</c:v>
                </c:pt>
                <c:pt idx="91">
                  <c:v>15.885118856150433</c:v>
                </c:pt>
                <c:pt idx="92">
                  <c:v>15.971217691959529</c:v>
                </c:pt>
                <c:pt idx="93">
                  <c:v>16.056854861830701</c:v>
                </c:pt>
                <c:pt idx="94">
                  <c:v>16.142037713493028</c:v>
                </c:pt>
                <c:pt idx="95">
                  <c:v>16.226773401812398</c:v>
                </c:pt>
                <c:pt idx="96">
                  <c:v>16.311068895805121</c:v>
                </c:pt>
                <c:pt idx="97">
                  <c:v>16.394930985327033</c:v>
                </c:pt>
                <c:pt idx="98">
                  <c:v>16.478366287456151</c:v>
                </c:pt>
                <c:pt idx="99">
                  <c:v>16.561381252585985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B9-4595-A4C9-55B7B7FBF322}"/>
            </c:ext>
          </c:extLst>
        </c:ser>
        <c:ser>
          <c:idx val="3"/>
          <c:order val="3"/>
          <c:tx>
            <c:strRef>
              <c:f>'Calculator v.2.0'!$M$18</c:f>
              <c:strCache>
                <c:ptCount val="1"/>
                <c:pt idx="0">
                  <c:v>Average</c:v>
                </c:pt>
              </c:strCache>
            </c:strRef>
          </c:tx>
          <c:marker>
            <c:symbol val="none"/>
          </c:marker>
          <c:xVal>
            <c:numRef>
              <c:f>'Calculator v.2.0'!$I$19:$I$118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'Calculator v.2.0'!$M$19:$M$118</c:f>
              <c:numCache>
                <c:formatCode>0.00</c:formatCode>
                <c:ptCount val="100"/>
                <c:pt idx="0">
                  <c:v>1.0611701925728012</c:v>
                </c:pt>
                <c:pt idx="1">
                  <c:v>1.5007212783225246</c:v>
                </c:pt>
                <c:pt idx="2">
                  <c:v>1.8380006890137413</c:v>
                </c:pt>
                <c:pt idx="3">
                  <c:v>2.1223403851456024</c:v>
                </c:pt>
                <c:pt idx="4">
                  <c:v>2.3728486862893257</c:v>
                </c:pt>
                <c:pt idx="5">
                  <c:v>2.5993255020543264</c:v>
                </c:pt>
                <c:pt idx="6">
                  <c:v>2.8075924282621529</c:v>
                </c:pt>
                <c:pt idx="7">
                  <c:v>3.0014425566450491</c:v>
                </c:pt>
                <c:pt idx="8">
                  <c:v>3.1835105777184034</c:v>
                </c:pt>
                <c:pt idx="9">
                  <c:v>3.3557147936095464</c:v>
                </c:pt>
                <c:pt idx="10">
                  <c:v>3.5195033674731664</c:v>
                </c:pt>
                <c:pt idx="11">
                  <c:v>3.6760013780274825</c:v>
                </c:pt>
                <c:pt idx="12">
                  <c:v>3.8261035413152307</c:v>
                </c:pt>
                <c:pt idx="13">
                  <c:v>3.9705352896643475</c:v>
                </c:pt>
                <c:pt idx="14">
                  <c:v>4.1098944833261761</c:v>
                </c:pt>
                <c:pt idx="15">
                  <c:v>4.2446807702912048</c:v>
                </c:pt>
                <c:pt idx="16">
                  <c:v>4.3753167907346935</c:v>
                </c:pt>
                <c:pt idx="17">
                  <c:v>4.5021638349675728</c:v>
                </c:pt>
                <c:pt idx="18">
                  <c:v>4.625533631322436</c:v>
                </c:pt>
                <c:pt idx="19">
                  <c:v>4.7456973725786513</c:v>
                </c:pt>
                <c:pt idx="20">
                  <c:v>4.8628927326957276</c:v>
                </c:pt>
                <c:pt idx="21">
                  <c:v>4.9773293950983302</c:v>
                </c:pt>
                <c:pt idx="22">
                  <c:v>5.0891934611404688</c:v>
                </c:pt>
                <c:pt idx="23">
                  <c:v>5.1986510041086529</c:v>
                </c:pt>
                <c:pt idx="24">
                  <c:v>5.3058509628640058</c:v>
                </c:pt>
                <c:pt idx="25">
                  <c:v>5.4109275191717261</c:v>
                </c:pt>
                <c:pt idx="26">
                  <c:v>5.5140020670412246</c:v>
                </c:pt>
                <c:pt idx="27">
                  <c:v>5.6151848565243059</c:v>
                </c:pt>
                <c:pt idx="28">
                  <c:v>5.7145763754231922</c:v>
                </c:pt>
                <c:pt idx="29">
                  <c:v>5.8122685182422442</c:v>
                </c:pt>
                <c:pt idx="30">
                  <c:v>5.9083455811043137</c:v>
                </c:pt>
                <c:pt idx="31">
                  <c:v>6.0028851132900982</c:v>
                </c:pt>
                <c:pt idx="32">
                  <c:v>6.0959586498732792</c:v>
                </c:pt>
                <c:pt idx="33">
                  <c:v>6.1876323451357278</c:v>
                </c:pt>
                <c:pt idx="34">
                  <c:v>6.2779675227078755</c:v>
                </c:pt>
                <c:pt idx="35">
                  <c:v>6.3670211554368068</c:v>
                </c:pt>
                <c:pt idx="36">
                  <c:v>6.4548462856511817</c:v>
                </c:pt>
                <c:pt idx="37">
                  <c:v>6.54149239462906</c:v>
                </c:pt>
                <c:pt idx="38">
                  <c:v>6.6270057285771857</c:v>
                </c:pt>
                <c:pt idx="39">
                  <c:v>6.7114295872190928</c:v>
                </c:pt>
                <c:pt idx="40">
                  <c:v>6.794804580104187</c:v>
                </c:pt>
                <c:pt idx="41">
                  <c:v>6.8771688549438581</c:v>
                </c:pt>
                <c:pt idx="42">
                  <c:v>6.9585583016178587</c:v>
                </c:pt>
                <c:pt idx="43">
                  <c:v>7.0390067349463328</c:v>
                </c:pt>
                <c:pt idx="44">
                  <c:v>7.1185460588679774</c:v>
                </c:pt>
                <c:pt idx="45">
                  <c:v>7.1972064142853247</c:v>
                </c:pt>
                <c:pt idx="46">
                  <c:v>7.2750163125201865</c:v>
                </c:pt>
                <c:pt idx="47">
                  <c:v>7.352002756054965</c:v>
                </c:pt>
                <c:pt idx="48">
                  <c:v>7.4281913480096078</c:v>
                </c:pt>
                <c:pt idx="49">
                  <c:v>7.5036063916126219</c:v>
                </c:pt>
                <c:pt idx="50">
                  <c:v>7.5782709807616939</c:v>
                </c:pt>
                <c:pt idx="51">
                  <c:v>7.6522070826304613</c:v>
                </c:pt>
                <c:pt idx="52">
                  <c:v>7.7254356131589619</c:v>
                </c:pt>
                <c:pt idx="53">
                  <c:v>7.7979765061629793</c:v>
                </c:pt>
                <c:pt idx="54">
                  <c:v>7.8698487767094223</c:v>
                </c:pt>
                <c:pt idx="55">
                  <c:v>7.9410705793286951</c:v>
                </c:pt>
                <c:pt idx="56">
                  <c:v>8.0116592615690276</c:v>
                </c:pt>
                <c:pt idx="57">
                  <c:v>8.0816314133403626</c:v>
                </c:pt>
                <c:pt idx="58">
                  <c:v>8.1510029124454846</c:v>
                </c:pt>
                <c:pt idx="59">
                  <c:v>8.2197889666523523</c:v>
                </c:pt>
                <c:pt idx="60">
                  <c:v>8.2880041526235217</c:v>
                </c:pt>
                <c:pt idx="61">
                  <c:v>8.3556624519848661</c:v>
                </c:pt>
                <c:pt idx="62">
                  <c:v>8.4227772847864575</c:v>
                </c:pt>
                <c:pt idx="63">
                  <c:v>8.4893615405824097</c:v>
                </c:pt>
                <c:pt idx="64">
                  <c:v>8.5554276073335291</c:v>
                </c:pt>
                <c:pt idx="65">
                  <c:v>8.620987398316375</c:v>
                </c:pt>
                <c:pt idx="66">
                  <c:v>8.6860523772042004</c:v>
                </c:pt>
                <c:pt idx="67">
                  <c:v>8.750633581469387</c:v>
                </c:pt>
                <c:pt idx="68">
                  <c:v>8.8147416442426003</c:v>
                </c:pt>
                <c:pt idx="69">
                  <c:v>8.8783868147512983</c:v>
                </c:pt>
                <c:pt idx="70">
                  <c:v>8.9415789774488204</c:v>
                </c:pt>
                <c:pt idx="71">
                  <c:v>9.0043276699351456</c:v>
                </c:pt>
                <c:pt idx="72">
                  <c:v>9.0666420997613386</c:v>
                </c:pt>
                <c:pt idx="73">
                  <c:v>9.1285311602014971</c:v>
                </c:pt>
                <c:pt idx="74">
                  <c:v>9.1900034450687063</c:v>
                </c:pt>
                <c:pt idx="75">
                  <c:v>9.251067262644872</c:v>
                </c:pt>
                <c:pt idx="76">
                  <c:v>9.3117306487883713</c:v>
                </c:pt>
                <c:pt idx="77">
                  <c:v>9.3720013792780517</c:v>
                </c:pt>
                <c:pt idx="78">
                  <c:v>9.4318869814472794</c:v>
                </c:pt>
                <c:pt idx="79">
                  <c:v>9.4913947451573026</c:v>
                </c:pt>
                <c:pt idx="80">
                  <c:v>9.5505317331552106</c:v>
                </c:pt>
                <c:pt idx="81">
                  <c:v>9.6093047908581628</c:v>
                </c:pt>
                <c:pt idx="82">
                  <c:v>9.6677205556022709</c:v>
                </c:pt>
                <c:pt idx="83">
                  <c:v>9.7257854653914553</c:v>
                </c:pt>
                <c:pt idx="84">
                  <c:v>9.7835057671789958</c:v>
                </c:pt>
                <c:pt idx="85">
                  <c:v>9.8408875247118672</c:v>
                </c:pt>
                <c:pt idx="86">
                  <c:v>9.8979366259657695</c:v>
                </c:pt>
                <c:pt idx="87">
                  <c:v>9.9546587901966603</c:v>
                </c:pt>
                <c:pt idx="88">
                  <c:v>10.01105957463268</c:v>
                </c:pt>
                <c:pt idx="89">
                  <c:v>10.067144380828639</c:v>
                </c:pt>
                <c:pt idx="90">
                  <c:v>10.122918460703643</c:v>
                </c:pt>
                <c:pt idx="91">
                  <c:v>10.178386922280938</c:v>
                </c:pt>
                <c:pt idx="92">
                  <c:v>10.233554735147735</c:v>
                </c:pt>
                <c:pt idx="93">
                  <c:v>10.288426735651552</c:v>
                </c:pt>
                <c:pt idx="94">
                  <c:v>10.343007631848417</c:v>
                </c:pt>
                <c:pt idx="95">
                  <c:v>10.397302008217306</c:v>
                </c:pt>
                <c:pt idx="96">
                  <c:v>10.451314330154107</c:v>
                </c:pt>
                <c:pt idx="97">
                  <c:v>10.505048948257672</c:v>
                </c:pt>
                <c:pt idx="98">
                  <c:v>10.558510102419499</c:v>
                </c:pt>
                <c:pt idx="99">
                  <c:v>10.611701925728012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4B9-4595-A4C9-55B7B7FBF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979520"/>
        <c:axId val="151981440"/>
      </c:scatterChart>
      <c:valAx>
        <c:axId val="15197952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Reps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981440"/>
        <c:crosses val="autoZero"/>
        <c:crossBetween val="midCat"/>
        <c:majorUnit val="5"/>
      </c:valAx>
      <c:valAx>
        <c:axId val="151981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SNR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5197952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69272</xdr:colOff>
      <xdr:row>0</xdr:row>
      <xdr:rowOff>25976</xdr:rowOff>
    </xdr:from>
    <xdr:ext cx="1143000" cy="1143000"/>
    <xdr:pic>
      <xdr:nvPicPr>
        <xdr:cNvPr id="2" name="Picture 1" descr="CoE_Logo14Sept12_DrAhnerRequest.png">
          <a:extLst>
            <a:ext uri="{FF2B5EF4-FFF2-40B4-BE49-F238E27FC236}">
              <a16:creationId xmlns:a16="http://schemas.microsoft.com/office/drawing/2014/main" id="{DCA7A657-8D69-47FA-ADAD-2D300D154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272" y="25976"/>
          <a:ext cx="1143000" cy="11430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4050284" cy="2975158"/>
    <xdr:pic>
      <xdr:nvPicPr>
        <xdr:cNvPr id="5" name="Picture 4">
          <a:extLst>
            <a:ext uri="{FF2B5EF4-FFF2-40B4-BE49-F238E27FC236}">
              <a16:creationId xmlns:a16="http://schemas.microsoft.com/office/drawing/2014/main" id="{945008D7-675F-4667-BF1E-EDE4653ED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81150" y="3543300"/>
          <a:ext cx="4050284" cy="2975158"/>
        </a:xfrm>
        <a:prstGeom prst="rect">
          <a:avLst/>
        </a:prstGeom>
      </xdr:spPr>
    </xdr:pic>
    <xdr:clientData/>
  </xdr:oneCellAnchor>
  <xdr:twoCellAnchor>
    <xdr:from>
      <xdr:col>14</xdr:col>
      <xdr:colOff>0</xdr:colOff>
      <xdr:row>3</xdr:row>
      <xdr:rowOff>0</xdr:rowOff>
    </xdr:from>
    <xdr:to>
      <xdr:col>21</xdr:col>
      <xdr:colOff>599016</xdr:colOff>
      <xdr:row>23</xdr:row>
      <xdr:rowOff>158753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CDB6DB8-AD3F-4FE7-81D0-AC27083CF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1219200</xdr:colOff>
      <xdr:row>0</xdr:row>
      <xdr:rowOff>1190625</xdr:rowOff>
    </xdr:to>
    <xdr:pic>
      <xdr:nvPicPr>
        <xdr:cNvPr id="2" name="Picture 1" descr="CoE_Logo14Sept12_DrAhnerRequest.png">
          <a:extLst>
            <a:ext uri="{FF2B5EF4-FFF2-40B4-BE49-F238E27FC236}">
              <a16:creationId xmlns:a16="http://schemas.microsoft.com/office/drawing/2014/main" id="{E3EA6DDE-E83B-42DF-B5A3-F2A595CE4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47625"/>
          <a:ext cx="1143000" cy="1143000"/>
        </a:xfrm>
        <a:prstGeom prst="rect">
          <a:avLst/>
        </a:prstGeom>
      </xdr:spPr>
    </xdr:pic>
    <xdr:clientData/>
  </xdr:twoCellAnchor>
  <xdr:twoCellAnchor>
    <xdr:from>
      <xdr:col>5</xdr:col>
      <xdr:colOff>224888</xdr:colOff>
      <xdr:row>10</xdr:row>
      <xdr:rowOff>79376</xdr:rowOff>
    </xdr:from>
    <xdr:to>
      <xdr:col>15</xdr:col>
      <xdr:colOff>72488</xdr:colOff>
      <xdr:row>16</xdr:row>
      <xdr:rowOff>84668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0471FDE-C482-47F2-B89F-5B834777E307}"/>
            </a:ext>
          </a:extLst>
        </xdr:cNvPr>
        <xdr:cNvSpPr txBox="1"/>
      </xdr:nvSpPr>
      <xdr:spPr>
        <a:xfrm>
          <a:off x="6046568" y="3066416"/>
          <a:ext cx="6758940" cy="1194012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Notes:</a:t>
          </a:r>
          <a:endParaRPr lang="en-US" sz="1100"/>
        </a:p>
        <a:p>
          <a:r>
            <a:rPr lang="en-US" sz="1100"/>
            <a:t> - This approach</a:t>
          </a:r>
          <a:r>
            <a:rPr lang="en-US" sz="1100" baseline="0"/>
            <a:t> should only be used if a 2^(k-f) design is used.  </a:t>
          </a:r>
        </a:p>
        <a:p>
          <a:r>
            <a:rPr lang="en-US" sz="1100" baseline="0"/>
            <a:t> - See cell comments for more details.</a:t>
          </a:r>
        </a:p>
        <a:p>
          <a:r>
            <a:rPr lang="en-US" sz="1100"/>
            <a:t> - See</a:t>
          </a:r>
          <a:r>
            <a:rPr lang="en-US" sz="1100" baseline="0"/>
            <a:t> Bisgarrd-Fuller, 1995 for details on calculations.</a:t>
          </a:r>
          <a:endParaRPr lang="en-US" sz="1100"/>
        </a:p>
      </xdr:txBody>
    </xdr:sp>
    <xdr:clientData/>
  </xdr:twoCellAnchor>
  <xdr:twoCellAnchor>
    <xdr:from>
      <xdr:col>5</xdr:col>
      <xdr:colOff>222249</xdr:colOff>
      <xdr:row>25</xdr:row>
      <xdr:rowOff>95250</xdr:rowOff>
    </xdr:from>
    <xdr:to>
      <xdr:col>15</xdr:col>
      <xdr:colOff>69849</xdr:colOff>
      <xdr:row>31</xdr:row>
      <xdr:rowOff>100542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4AD36-634A-469C-928B-864C7EABFD46}"/>
            </a:ext>
          </a:extLst>
        </xdr:cNvPr>
        <xdr:cNvSpPr txBox="1"/>
      </xdr:nvSpPr>
      <xdr:spPr>
        <a:xfrm>
          <a:off x="6043929" y="6168390"/>
          <a:ext cx="6758940" cy="1194012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Notes:</a:t>
          </a:r>
          <a:endParaRPr lang="en-US" sz="1100"/>
        </a:p>
        <a:p>
          <a:r>
            <a:rPr lang="en-US" sz="1100"/>
            <a:t> - This approach</a:t>
          </a:r>
          <a:r>
            <a:rPr lang="en-US" sz="1100" baseline="0"/>
            <a:t> should only be used if a 2^(k-f) design is used.  </a:t>
          </a:r>
        </a:p>
        <a:p>
          <a:r>
            <a:rPr lang="en-US" sz="1100" baseline="0"/>
            <a:t>-  Run reps until the number of failures meets the stopping rule. Record number of reps it took to get there as the response.</a:t>
          </a:r>
        </a:p>
        <a:p>
          <a:r>
            <a:rPr lang="en-US" sz="1100" baseline="0"/>
            <a:t> - See cell comments for more details.</a:t>
          </a:r>
        </a:p>
        <a:p>
          <a:r>
            <a:rPr lang="en-US" sz="1100"/>
            <a:t> - See</a:t>
          </a:r>
          <a:r>
            <a:rPr lang="en-US" sz="1100" baseline="0"/>
            <a:t> Bisgarrd-Gertsbakh (2000) for details on calculations.</a:t>
          </a:r>
          <a:endParaRPr lang="en-US" sz="1100"/>
        </a:p>
      </xdr:txBody>
    </xdr:sp>
    <xdr:clientData/>
  </xdr:twoCellAnchor>
  <xdr:twoCellAnchor>
    <xdr:from>
      <xdr:col>5</xdr:col>
      <xdr:colOff>232833</xdr:colOff>
      <xdr:row>2</xdr:row>
      <xdr:rowOff>52925</xdr:rowOff>
    </xdr:from>
    <xdr:to>
      <xdr:col>15</xdr:col>
      <xdr:colOff>80433</xdr:colOff>
      <xdr:row>7</xdr:row>
      <xdr:rowOff>58216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B58B60-5ABD-49B0-901B-1B512F9F0692}"/>
            </a:ext>
          </a:extLst>
        </xdr:cNvPr>
        <xdr:cNvSpPr txBox="1"/>
      </xdr:nvSpPr>
      <xdr:spPr>
        <a:xfrm>
          <a:off x="6054513" y="1455005"/>
          <a:ext cx="6758940" cy="99589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Notes:</a:t>
          </a:r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See cell comments for more details.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Inputs "k" and "f" are only needed for Methods 1 and 3.</a:t>
          </a:r>
          <a:endParaRPr lang="en-US"/>
        </a:p>
        <a:p>
          <a:endParaRPr lang="en-US" sz="1100"/>
        </a:p>
      </xdr:txBody>
    </xdr:sp>
    <xdr:clientData/>
  </xdr:twoCellAnchor>
  <xdr:twoCellAnchor>
    <xdr:from>
      <xdr:col>5</xdr:col>
      <xdr:colOff>205316</xdr:colOff>
      <xdr:row>18</xdr:row>
      <xdr:rowOff>42175</xdr:rowOff>
    </xdr:from>
    <xdr:to>
      <xdr:col>15</xdr:col>
      <xdr:colOff>52916</xdr:colOff>
      <xdr:row>23</xdr:row>
      <xdr:rowOff>152441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88DD5F6-4C55-41E8-AEB5-672A2A91C2DD}"/>
            </a:ext>
          </a:extLst>
        </xdr:cNvPr>
        <xdr:cNvSpPr txBox="1"/>
      </xdr:nvSpPr>
      <xdr:spPr>
        <a:xfrm>
          <a:off x="6025091" y="4642750"/>
          <a:ext cx="6791325" cy="111039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Notes:</a:t>
          </a:r>
        </a:p>
        <a:p>
          <a:r>
            <a:rPr lang="en-US" sz="1100" b="0"/>
            <a:t>- </a:t>
          </a:r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Approach can be used with any design</a:t>
          </a:r>
        </a:p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- "Normal method" tends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to be the </a:t>
          </a:r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most conservative estimated and is therefore recommended.</a:t>
          </a:r>
        </a:p>
        <a:p>
          <a:r>
            <a:rPr lang="en-US" sz="1100"/>
            <a:t> -See "Using Method 2" tab for step</a:t>
          </a:r>
          <a:r>
            <a:rPr lang="en-US" sz="1100" baseline="0"/>
            <a:t> by step instructions on how to use this with JMP 10.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- You should still use the "Rule of 5" (see Cell C14) number if it is greater than the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reps suggested by the statistical software. recommends.</a:t>
          </a:r>
          <a:endParaRPr lang="en-US"/>
        </a:p>
        <a:p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ease.com/misc_data/binomial_sample_size_calc.xls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8"/>
  <sheetViews>
    <sheetView showGridLines="0" tabSelected="1" zoomScale="80" zoomScaleNormal="80" workbookViewId="0">
      <selection activeCell="E1" sqref="E1"/>
    </sheetView>
  </sheetViews>
  <sheetFormatPr defaultRowHeight="12.75" x14ac:dyDescent="0.2"/>
  <cols>
    <col min="1" max="1" width="20" style="14" customWidth="1"/>
    <col min="2" max="2" width="3.140625" customWidth="1"/>
    <col min="3" max="3" width="10.7109375" style="1" customWidth="1"/>
    <col min="4" max="4" width="8.7109375" style="1" customWidth="1"/>
    <col min="5" max="5" width="11.42578125" style="1" bestFit="1" customWidth="1"/>
    <col min="6" max="6" width="8.7109375" style="1" customWidth="1"/>
    <col min="7" max="7" width="16.5703125" bestFit="1" customWidth="1"/>
    <col min="8" max="8" width="5.85546875" customWidth="1"/>
    <col min="9" max="9" width="13.85546875" bestFit="1" customWidth="1"/>
    <col min="10" max="13" width="8.7109375" style="1" customWidth="1"/>
    <col min="14" max="14" width="7" bestFit="1" customWidth="1"/>
    <col min="16" max="16" width="13.85546875" bestFit="1" customWidth="1"/>
    <col min="23" max="23" width="3.85546875" customWidth="1"/>
    <col min="25" max="25" width="12.7109375" hidden="1" customWidth="1"/>
    <col min="26" max="26" width="9.140625" hidden="1" customWidth="1"/>
    <col min="27" max="27" width="14.85546875" bestFit="1" customWidth="1"/>
  </cols>
  <sheetData>
    <row r="1" spans="1:33" s="19" customFormat="1" ht="93" customHeight="1" x14ac:dyDescent="0.2">
      <c r="A1" s="13"/>
      <c r="B1" s="23" t="s">
        <v>19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3"/>
      <c r="Y1" s="14"/>
      <c r="Z1" s="14"/>
      <c r="AA1" s="13"/>
      <c r="AB1" s="14"/>
      <c r="AC1" s="14"/>
      <c r="AD1" s="14"/>
      <c r="AE1" s="14"/>
      <c r="AF1" s="14"/>
      <c r="AG1" s="14"/>
    </row>
    <row r="2" spans="1:33" ht="27.75" x14ac:dyDescent="0.2">
      <c r="A2" s="13"/>
    </row>
    <row r="3" spans="1:33" ht="15.75" customHeight="1" x14ac:dyDescent="0.25">
      <c r="A3" s="13"/>
      <c r="E3" s="12" t="s">
        <v>16</v>
      </c>
      <c r="F3" s="12" t="s">
        <v>15</v>
      </c>
      <c r="I3" s="24" t="s">
        <v>20</v>
      </c>
      <c r="Y3" s="11" t="s">
        <v>13</v>
      </c>
      <c r="Z3" s="1"/>
    </row>
    <row r="4" spans="1:33" ht="15.75" customHeight="1" x14ac:dyDescent="0.35">
      <c r="A4" s="13"/>
      <c r="E4" s="21" t="s">
        <v>17</v>
      </c>
      <c r="F4" s="10">
        <v>0.9</v>
      </c>
    </row>
    <row r="5" spans="1:33" ht="15.75" customHeight="1" x14ac:dyDescent="0.35">
      <c r="A5" s="13"/>
      <c r="E5" s="21" t="s">
        <v>18</v>
      </c>
      <c r="F5" s="10">
        <v>0.8</v>
      </c>
      <c r="I5" s="12" t="s">
        <v>7</v>
      </c>
      <c r="J5" s="3" t="s">
        <v>3</v>
      </c>
      <c r="K5" s="3" t="s">
        <v>2</v>
      </c>
      <c r="L5" s="3" t="s">
        <v>1</v>
      </c>
      <c r="M5" s="12" t="s">
        <v>14</v>
      </c>
      <c r="Y5" s="9" t="s">
        <v>9</v>
      </c>
      <c r="Z5" s="6">
        <v>0</v>
      </c>
    </row>
    <row r="6" spans="1:33" ht="15.75" customHeight="1" x14ac:dyDescent="0.25">
      <c r="A6" s="13"/>
      <c r="E6" s="17" t="s">
        <v>7</v>
      </c>
      <c r="F6" s="8">
        <v>4</v>
      </c>
      <c r="I6" s="15" t="s">
        <v>11</v>
      </c>
      <c r="J6" s="2">
        <f>ABS($Z$6-$Z$7)/SQRT(($Z$5+($F$4*(1-$F$4))/F6))</f>
        <v>1.3266666666666664</v>
      </c>
      <c r="K6" s="2">
        <f>(ASIN(SQRT($Z$6))-ASIN(SQRT($Z$7)))/(SQRT(($Z$5/(4*$F$4*(1-$F$4)))+(1/(4*F6))))</f>
        <v>1.7280782382529436</v>
      </c>
      <c r="L6" s="2">
        <f>(LN($Z$6/(1-$Z$6))-LN($Z$7/(1-$Z$7)))/SQRT(1/($F$4*(1-$F$4))*((1/F6)+($Z$5/($F$4*(1-$F$4)))))</f>
        <v>3.312276250517197</v>
      </c>
      <c r="M6" s="2">
        <f>AVERAGE(J6:L6)</f>
        <v>2.1223403851456024</v>
      </c>
      <c r="Y6" s="7" t="s">
        <v>8</v>
      </c>
      <c r="Z6" s="6">
        <f>MIN(F9, 0.999)</f>
        <v>0.999</v>
      </c>
      <c r="AA6" s="5"/>
    </row>
    <row r="7" spans="1:33" ht="15.75" customHeight="1" x14ac:dyDescent="0.25">
      <c r="A7" s="13"/>
      <c r="I7" s="15">
        <v>1</v>
      </c>
      <c r="J7" s="2">
        <f>J19</f>
        <v>0.66333333333333322</v>
      </c>
      <c r="K7" s="2">
        <f>K19</f>
        <v>0.8640391191264718</v>
      </c>
      <c r="L7" s="2">
        <f>L19</f>
        <v>1.6561381252585985</v>
      </c>
      <c r="M7" s="2">
        <f>M19</f>
        <v>1.0611701925728012</v>
      </c>
      <c r="Y7" s="7" t="s">
        <v>6</v>
      </c>
      <c r="Z7" s="6">
        <f>MAX(F10, 0.001)</f>
        <v>0.8</v>
      </c>
      <c r="AA7" s="5"/>
    </row>
    <row r="8" spans="1:33" ht="15.75" customHeight="1" x14ac:dyDescent="0.25">
      <c r="A8" s="13"/>
      <c r="E8" s="12" t="s">
        <v>13</v>
      </c>
      <c r="F8" s="12" t="s">
        <v>15</v>
      </c>
      <c r="I8" s="15">
        <v>5</v>
      </c>
      <c r="J8" s="2">
        <f>J23</f>
        <v>1.4832584250748604</v>
      </c>
      <c r="K8" s="2">
        <f>K23</f>
        <v>1.9320502055858297</v>
      </c>
      <c r="L8" s="2">
        <f>L23</f>
        <v>3.7032374282072875</v>
      </c>
      <c r="M8" s="2">
        <f>M23</f>
        <v>2.3728486862893257</v>
      </c>
      <c r="AA8" s="5"/>
    </row>
    <row r="9" spans="1:33" ht="15.75" customHeight="1" x14ac:dyDescent="0.3">
      <c r="A9" s="13"/>
      <c r="E9" s="17" t="s">
        <v>12</v>
      </c>
      <c r="F9" s="18">
        <f>F4+((F4-F5))</f>
        <v>1</v>
      </c>
      <c r="I9" s="15">
        <v>10</v>
      </c>
      <c r="J9" s="2">
        <f>J28</f>
        <v>2.0976441812450246</v>
      </c>
      <c r="K9" s="2">
        <f>K28</f>
        <v>2.7323316039252066</v>
      </c>
      <c r="L9" s="2">
        <f>L28</f>
        <v>5.2371685956584075</v>
      </c>
      <c r="M9" s="2">
        <f>M28</f>
        <v>3.3557147936095464</v>
      </c>
    </row>
    <row r="10" spans="1:33" ht="15.75" customHeight="1" x14ac:dyDescent="0.3">
      <c r="A10" s="13"/>
      <c r="E10" s="17" t="s">
        <v>10</v>
      </c>
      <c r="F10" s="16">
        <f>F4-((F4-F5))</f>
        <v>0.8</v>
      </c>
      <c r="I10" s="15">
        <v>20</v>
      </c>
      <c r="J10" s="2">
        <f>J38</f>
        <v>2.9665168501497208</v>
      </c>
      <c r="K10" s="2">
        <f>K38</f>
        <v>3.8641004111716595</v>
      </c>
      <c r="L10" s="2">
        <f>L38</f>
        <v>7.406474856414575</v>
      </c>
      <c r="M10" s="2">
        <f>M38</f>
        <v>4.7456973725786513</v>
      </c>
    </row>
    <row r="11" spans="1:33" ht="15.75" customHeight="1" x14ac:dyDescent="0.25">
      <c r="A11" s="13"/>
      <c r="E11" s="17" t="s">
        <v>5</v>
      </c>
      <c r="F11" s="16">
        <f>F9-F10</f>
        <v>0.19999999999999996</v>
      </c>
      <c r="I11" s="15">
        <v>40</v>
      </c>
      <c r="J11" s="2">
        <f>J58</f>
        <v>4.1952883624900492</v>
      </c>
      <c r="K11" s="2">
        <f>K58</f>
        <v>5.4646632078504132</v>
      </c>
      <c r="L11" s="2">
        <f>L58</f>
        <v>10.474337191316815</v>
      </c>
      <c r="M11" s="2">
        <f>M58</f>
        <v>6.7114295872190928</v>
      </c>
    </row>
    <row r="12" spans="1:33" ht="15.75" customHeight="1" x14ac:dyDescent="0.25">
      <c r="A12" s="13"/>
      <c r="I12" s="15">
        <v>60</v>
      </c>
      <c r="J12" s="2">
        <f>J78</f>
        <v>5.1381579059685052</v>
      </c>
      <c r="K12" s="2">
        <f>K78</f>
        <v>6.6928182376971037</v>
      </c>
      <c r="L12" s="2">
        <f>L78</f>
        <v>12.82839075629145</v>
      </c>
      <c r="M12" s="2">
        <f>M78</f>
        <v>8.2197889666523523</v>
      </c>
    </row>
    <row r="13" spans="1:33" ht="15.75" customHeight="1" x14ac:dyDescent="0.25">
      <c r="A13" s="13"/>
      <c r="I13" s="15">
        <v>80</v>
      </c>
      <c r="J13" s="2">
        <f>J98</f>
        <v>5.9330337002994415</v>
      </c>
      <c r="K13" s="2">
        <f>K98</f>
        <v>7.728200822343319</v>
      </c>
      <c r="L13" s="2">
        <f>L98</f>
        <v>14.81294971282915</v>
      </c>
      <c r="M13" s="2">
        <f>M98</f>
        <v>9.4913947451573026</v>
      </c>
    </row>
    <row r="14" spans="1:33" ht="15.75" customHeight="1" x14ac:dyDescent="0.25">
      <c r="A14" s="13"/>
      <c r="I14" s="15">
        <v>100</v>
      </c>
      <c r="J14" s="2">
        <f>J118</f>
        <v>6.633333333333332</v>
      </c>
      <c r="K14" s="2">
        <f>K118</f>
        <v>8.6403911912647171</v>
      </c>
      <c r="L14" s="2">
        <f>L118</f>
        <v>16.561381252585985</v>
      </c>
      <c r="M14" s="2">
        <f>M118</f>
        <v>10.611701925728012</v>
      </c>
    </row>
    <row r="15" spans="1:33" ht="15.75" customHeight="1" x14ac:dyDescent="0.2">
      <c r="A15" s="13"/>
    </row>
    <row r="16" spans="1:33" ht="15.75" customHeight="1" x14ac:dyDescent="0.25">
      <c r="A16" s="13"/>
      <c r="I16" s="24" t="s">
        <v>21</v>
      </c>
    </row>
    <row r="17" spans="1:13" ht="15.75" customHeight="1" x14ac:dyDescent="0.2">
      <c r="A17" s="13"/>
    </row>
    <row r="18" spans="1:13" ht="15.75" customHeight="1" x14ac:dyDescent="0.25">
      <c r="A18" s="13"/>
      <c r="I18" s="4" t="s">
        <v>4</v>
      </c>
      <c r="J18" s="3" t="s">
        <v>3</v>
      </c>
      <c r="K18" s="3" t="s">
        <v>2</v>
      </c>
      <c r="L18" s="3" t="s">
        <v>1</v>
      </c>
      <c r="M18" s="3" t="s">
        <v>0</v>
      </c>
    </row>
    <row r="19" spans="1:13" ht="15.75" customHeight="1" x14ac:dyDescent="0.25">
      <c r="A19" s="13"/>
      <c r="I19" s="15">
        <v>1</v>
      </c>
      <c r="J19" s="2">
        <f t="shared" ref="J19:J50" si="0">ABS($Z$6-$Z$7)/SQRT(($Z$5+($F$4*(1-$F$4))/I19))</f>
        <v>0.66333333333333322</v>
      </c>
      <c r="K19" s="2">
        <f t="shared" ref="K19:K50" si="1">(ASIN(SQRT($Z$6))-ASIN(SQRT($Z$7)))/(SQRT(($Z$5/(4*$F$4*(1-$F$4)))+(1/(4*I19))))</f>
        <v>0.8640391191264718</v>
      </c>
      <c r="L19" s="2">
        <f t="shared" ref="L19:L50" si="2">(LN($Z$6/(1-$Z$6))-LN($Z$7/(1-$Z$7)))/SQRT(1/($F$4*(1-$F$4))*((1/I19)+($Z$5/($F$4*(1-$F$4)))))</f>
        <v>1.6561381252585985</v>
      </c>
      <c r="M19" s="2">
        <f t="shared" ref="M19:M50" si="3">AVERAGE(J19:L19)</f>
        <v>1.0611701925728012</v>
      </c>
    </row>
    <row r="20" spans="1:13" ht="15.75" customHeight="1" x14ac:dyDescent="0.25">
      <c r="A20" s="13"/>
      <c r="I20" s="15">
        <v>2</v>
      </c>
      <c r="J20" s="2">
        <f t="shared" si="0"/>
        <v>0.93809499637415295</v>
      </c>
      <c r="K20" s="2">
        <f t="shared" si="1"/>
        <v>1.2219358406895586</v>
      </c>
      <c r="L20" s="2">
        <f t="shared" si="2"/>
        <v>2.3421329979038616</v>
      </c>
      <c r="M20" s="2">
        <f t="shared" si="3"/>
        <v>1.5007212783225246</v>
      </c>
    </row>
    <row r="21" spans="1:13" ht="15.75" customHeight="1" x14ac:dyDescent="0.25">
      <c r="A21" s="13"/>
      <c r="I21" s="15">
        <v>3</v>
      </c>
      <c r="J21" s="2">
        <f t="shared" si="0"/>
        <v>1.1489270356873551</v>
      </c>
      <c r="K21" s="2">
        <f t="shared" si="1"/>
        <v>1.4965596540541068</v>
      </c>
      <c r="L21" s="2">
        <f t="shared" si="2"/>
        <v>2.868515377299762</v>
      </c>
      <c r="M21" s="2">
        <f t="shared" si="3"/>
        <v>1.8380006890137413</v>
      </c>
    </row>
    <row r="22" spans="1:13" ht="15.75" customHeight="1" x14ac:dyDescent="0.25">
      <c r="A22" s="13"/>
      <c r="I22" s="15">
        <v>4</v>
      </c>
      <c r="J22" s="2">
        <f t="shared" si="0"/>
        <v>1.3266666666666664</v>
      </c>
      <c r="K22" s="2">
        <f t="shared" si="1"/>
        <v>1.7280782382529436</v>
      </c>
      <c r="L22" s="2">
        <f t="shared" si="2"/>
        <v>3.312276250517197</v>
      </c>
      <c r="M22" s="2">
        <f t="shared" si="3"/>
        <v>2.1223403851456024</v>
      </c>
    </row>
    <row r="23" spans="1:13" ht="15.75" customHeight="1" x14ac:dyDescent="0.25">
      <c r="A23" s="13"/>
      <c r="I23" s="15">
        <v>5</v>
      </c>
      <c r="J23" s="2">
        <f t="shared" si="0"/>
        <v>1.4832584250748604</v>
      </c>
      <c r="K23" s="2">
        <f t="shared" si="1"/>
        <v>1.9320502055858297</v>
      </c>
      <c r="L23" s="2">
        <f t="shared" si="2"/>
        <v>3.7032374282072875</v>
      </c>
      <c r="M23" s="2">
        <f t="shared" si="3"/>
        <v>2.3728486862893257</v>
      </c>
    </row>
    <row r="24" spans="1:13" ht="15.75" customHeight="1" x14ac:dyDescent="0.25">
      <c r="A24" s="13"/>
      <c r="I24" s="15">
        <v>6</v>
      </c>
      <c r="J24" s="2">
        <f t="shared" si="0"/>
        <v>1.6248281960461746</v>
      </c>
      <c r="K24" s="2">
        <f t="shared" si="1"/>
        <v>2.116454959663705</v>
      </c>
      <c r="L24" s="2">
        <f t="shared" si="2"/>
        <v>4.0566933504530995</v>
      </c>
      <c r="M24" s="2">
        <f t="shared" si="3"/>
        <v>2.5993255020543264</v>
      </c>
    </row>
    <row r="25" spans="1:13" ht="15.75" customHeight="1" x14ac:dyDescent="0.25">
      <c r="A25" s="13"/>
      <c r="I25" s="15">
        <v>7</v>
      </c>
      <c r="J25" s="2">
        <f t="shared" si="0"/>
        <v>1.7550150363395116</v>
      </c>
      <c r="K25" s="2">
        <f t="shared" si="1"/>
        <v>2.2860326322399569</v>
      </c>
      <c r="L25" s="2">
        <f t="shared" si="2"/>
        <v>4.3817296162069903</v>
      </c>
      <c r="M25" s="2">
        <f t="shared" si="3"/>
        <v>2.8075924282621529</v>
      </c>
    </row>
    <row r="26" spans="1:13" ht="15.75" customHeight="1" x14ac:dyDescent="0.25">
      <c r="A26" s="13"/>
      <c r="I26" s="15">
        <v>8</v>
      </c>
      <c r="J26" s="2">
        <f t="shared" si="0"/>
        <v>1.8761899927483059</v>
      </c>
      <c r="K26" s="2">
        <f t="shared" si="1"/>
        <v>2.4438716813791173</v>
      </c>
      <c r="L26" s="2">
        <f t="shared" si="2"/>
        <v>4.6842659958077233</v>
      </c>
      <c r="M26" s="2">
        <f t="shared" si="3"/>
        <v>3.0014425566450491</v>
      </c>
    </row>
    <row r="27" spans="1:13" ht="15.75" customHeight="1" x14ac:dyDescent="0.25">
      <c r="A27" s="13"/>
      <c r="I27" s="15">
        <v>9</v>
      </c>
      <c r="J27" s="2">
        <f t="shared" si="0"/>
        <v>1.9899999999999998</v>
      </c>
      <c r="K27" s="2">
        <f t="shared" si="1"/>
        <v>2.5921173573794154</v>
      </c>
      <c r="L27" s="2">
        <f t="shared" si="2"/>
        <v>4.9684143757757955</v>
      </c>
      <c r="M27" s="2">
        <f t="shared" si="3"/>
        <v>3.1835105777184034</v>
      </c>
    </row>
    <row r="28" spans="1:13" ht="15.75" customHeight="1" x14ac:dyDescent="0.25">
      <c r="A28" s="13"/>
      <c r="I28" s="15">
        <v>10</v>
      </c>
      <c r="J28" s="2">
        <f t="shared" si="0"/>
        <v>2.0976441812450246</v>
      </c>
      <c r="K28" s="2">
        <f t="shared" si="1"/>
        <v>2.7323316039252066</v>
      </c>
      <c r="L28" s="2">
        <f t="shared" si="2"/>
        <v>5.2371685956584075</v>
      </c>
      <c r="M28" s="2">
        <f t="shared" si="3"/>
        <v>3.3557147936095464</v>
      </c>
    </row>
    <row r="29" spans="1:13" ht="15.75" customHeight="1" x14ac:dyDescent="0.25">
      <c r="A29" s="13"/>
      <c r="I29" s="15">
        <v>11</v>
      </c>
      <c r="J29" s="2">
        <f t="shared" si="0"/>
        <v>2.2000277776024149</v>
      </c>
      <c r="K29" s="2">
        <f t="shared" si="1"/>
        <v>2.8656935623316988</v>
      </c>
      <c r="L29" s="2">
        <f t="shared" si="2"/>
        <v>5.4927887624853851</v>
      </c>
      <c r="M29" s="2">
        <f t="shared" si="3"/>
        <v>3.5195033674731664</v>
      </c>
    </row>
    <row r="30" spans="1:13" ht="15.75" customHeight="1" x14ac:dyDescent="0.25">
      <c r="A30" s="13"/>
      <c r="I30" s="15">
        <v>12</v>
      </c>
      <c r="J30" s="2">
        <f t="shared" si="0"/>
        <v>2.2978540713747102</v>
      </c>
      <c r="K30" s="2">
        <f t="shared" si="1"/>
        <v>2.9931193081082137</v>
      </c>
      <c r="L30" s="2">
        <f t="shared" si="2"/>
        <v>5.7370307545995241</v>
      </c>
      <c r="M30" s="2">
        <f t="shared" si="3"/>
        <v>3.6760013780274825</v>
      </c>
    </row>
    <row r="31" spans="1:13" ht="15.75" customHeight="1" x14ac:dyDescent="0.25">
      <c r="A31" s="13"/>
      <c r="I31" s="15">
        <v>13</v>
      </c>
      <c r="J31" s="2">
        <f t="shared" si="0"/>
        <v>2.3916823460577792</v>
      </c>
      <c r="K31" s="2">
        <f t="shared" si="1"/>
        <v>3.1153373480172322</v>
      </c>
      <c r="L31" s="2">
        <f t="shared" si="2"/>
        <v>5.9712909298706798</v>
      </c>
      <c r="M31" s="2">
        <f t="shared" si="3"/>
        <v>3.8261035413152307</v>
      </c>
    </row>
    <row r="32" spans="1:13" ht="15.75" customHeight="1" x14ac:dyDescent="0.25">
      <c r="A32" s="13"/>
      <c r="I32" s="15">
        <v>14</v>
      </c>
      <c r="J32" s="2">
        <f t="shared" si="0"/>
        <v>2.4819660665600471</v>
      </c>
      <c r="K32" s="2">
        <f t="shared" si="1"/>
        <v>3.2329383525412125</v>
      </c>
      <c r="L32" s="2">
        <f t="shared" si="2"/>
        <v>6.1967014498917825</v>
      </c>
      <c r="M32" s="2">
        <f t="shared" si="3"/>
        <v>3.9705352896643475</v>
      </c>
    </row>
    <row r="33" spans="1:13" ht="15.75" customHeight="1" x14ac:dyDescent="0.25">
      <c r="A33" s="13"/>
      <c r="I33" s="15">
        <v>15</v>
      </c>
      <c r="J33" s="2">
        <f t="shared" si="0"/>
        <v>2.5690789529842526</v>
      </c>
      <c r="K33" s="2">
        <f t="shared" si="1"/>
        <v>3.3464091188485519</v>
      </c>
      <c r="L33" s="2">
        <f t="shared" si="2"/>
        <v>6.4141953781457248</v>
      </c>
      <c r="M33" s="2">
        <f t="shared" si="3"/>
        <v>4.1098944833261761</v>
      </c>
    </row>
    <row r="34" spans="1:13" ht="15.75" customHeight="1" x14ac:dyDescent="0.25">
      <c r="A34" s="13"/>
      <c r="I34" s="15">
        <v>16</v>
      </c>
      <c r="J34" s="2">
        <f t="shared" si="0"/>
        <v>2.6533333333333329</v>
      </c>
      <c r="K34" s="2">
        <f t="shared" si="1"/>
        <v>3.4561564765058872</v>
      </c>
      <c r="L34" s="2">
        <f t="shared" si="2"/>
        <v>6.624552501034394</v>
      </c>
      <c r="M34" s="2">
        <f t="shared" si="3"/>
        <v>4.2446807702912048</v>
      </c>
    </row>
    <row r="35" spans="1:13" ht="15.75" customHeight="1" x14ac:dyDescent="0.25">
      <c r="A35" s="13"/>
      <c r="I35" s="15">
        <v>17</v>
      </c>
      <c r="J35" s="2">
        <f t="shared" si="0"/>
        <v>2.7349933983263814</v>
      </c>
      <c r="K35" s="2">
        <f t="shared" si="1"/>
        <v>3.5625245528240841</v>
      </c>
      <c r="L35" s="2">
        <f t="shared" si="2"/>
        <v>6.8284324210536136</v>
      </c>
      <c r="M35" s="2">
        <f t="shared" si="3"/>
        <v>4.3753167907346935</v>
      </c>
    </row>
    <row r="36" spans="1:13" ht="15.75" customHeight="1" x14ac:dyDescent="0.25">
      <c r="A36" s="13"/>
      <c r="I36" s="15">
        <v>18</v>
      </c>
      <c r="J36" s="2">
        <f t="shared" si="0"/>
        <v>2.8142849891224584</v>
      </c>
      <c r="K36" s="2">
        <f t="shared" si="1"/>
        <v>3.6658075220686763</v>
      </c>
      <c r="L36" s="2">
        <f t="shared" si="2"/>
        <v>7.0263989937115854</v>
      </c>
      <c r="M36" s="2">
        <f t="shared" si="3"/>
        <v>4.5021638349675728</v>
      </c>
    </row>
    <row r="37" spans="1:13" ht="15.75" customHeight="1" x14ac:dyDescent="0.25">
      <c r="A37" s="13"/>
      <c r="I37" s="15">
        <v>19</v>
      </c>
      <c r="J37" s="2">
        <f t="shared" si="0"/>
        <v>2.8914029658819795</v>
      </c>
      <c r="K37" s="2">
        <f t="shared" si="1"/>
        <v>3.7662592035381919</v>
      </c>
      <c r="L37" s="2">
        <f t="shared" si="2"/>
        <v>7.2189387245471375</v>
      </c>
      <c r="M37" s="2">
        <f t="shared" si="3"/>
        <v>4.625533631322436</v>
      </c>
    </row>
    <row r="38" spans="1:13" ht="15.75" customHeight="1" x14ac:dyDescent="0.25">
      <c r="A38" s="13"/>
      <c r="I38" s="15">
        <v>20</v>
      </c>
      <c r="J38" s="2">
        <f t="shared" si="0"/>
        <v>2.9665168501497208</v>
      </c>
      <c r="K38" s="2">
        <f t="shared" si="1"/>
        <v>3.8641004111716595</v>
      </c>
      <c r="L38" s="2">
        <f t="shared" si="2"/>
        <v>7.406474856414575</v>
      </c>
      <c r="M38" s="2">
        <f t="shared" si="3"/>
        <v>4.7456973725786513</v>
      </c>
    </row>
    <row r="39" spans="1:13" ht="15.75" customHeight="1" x14ac:dyDescent="0.25">
      <c r="A39" s="13"/>
      <c r="I39" s="15">
        <v>21</v>
      </c>
      <c r="J39" s="2">
        <f t="shared" si="0"/>
        <v>3.0397752109873735</v>
      </c>
      <c r="K39" s="2">
        <f t="shared" si="1"/>
        <v>3.9595246668000237</v>
      </c>
      <c r="L39" s="2">
        <f t="shared" si="2"/>
        <v>7.5893783202997849</v>
      </c>
      <c r="M39" s="2">
        <f t="shared" si="3"/>
        <v>4.8628927326957276</v>
      </c>
    </row>
    <row r="40" spans="1:13" ht="15.75" customHeight="1" x14ac:dyDescent="0.25">
      <c r="A40" s="13"/>
      <c r="I40" s="15">
        <v>22</v>
      </c>
      <c r="J40" s="2">
        <f t="shared" si="0"/>
        <v>3.1113091206828742</v>
      </c>
      <c r="K40" s="2">
        <f t="shared" si="1"/>
        <v>4.0527027014547565</v>
      </c>
      <c r="L40" s="2">
        <f t="shared" si="2"/>
        <v>7.7679763631573602</v>
      </c>
      <c r="M40" s="2">
        <f t="shared" si="3"/>
        <v>4.9773293950983302</v>
      </c>
    </row>
    <row r="41" spans="1:13" ht="15.75" customHeight="1" x14ac:dyDescent="0.25">
      <c r="A41" s="13"/>
      <c r="I41" s="15">
        <v>23</v>
      </c>
      <c r="J41" s="2">
        <f t="shared" si="0"/>
        <v>3.1812349104641036</v>
      </c>
      <c r="K41" s="2">
        <f t="shared" si="1"/>
        <v>4.1437860448820878</v>
      </c>
      <c r="L41" s="2">
        <f t="shared" si="2"/>
        <v>7.9425594280752163</v>
      </c>
      <c r="M41" s="2">
        <f t="shared" si="3"/>
        <v>5.0891934611404688</v>
      </c>
    </row>
    <row r="42" spans="1:13" ht="15.75" customHeight="1" x14ac:dyDescent="0.25">
      <c r="A42" s="13"/>
      <c r="I42" s="15">
        <v>24</v>
      </c>
      <c r="J42" s="2">
        <f t="shared" si="0"/>
        <v>3.2496563920923491</v>
      </c>
      <c r="K42" s="2">
        <f t="shared" si="1"/>
        <v>4.23290991932741</v>
      </c>
      <c r="L42" s="2">
        <f t="shared" si="2"/>
        <v>8.1133867009061991</v>
      </c>
      <c r="M42" s="2">
        <f t="shared" si="3"/>
        <v>5.1986510041086529</v>
      </c>
    </row>
    <row r="43" spans="1:13" ht="15.75" customHeight="1" x14ac:dyDescent="0.25">
      <c r="A43" s="13"/>
      <c r="I43" s="15">
        <v>25</v>
      </c>
      <c r="J43" s="2">
        <f t="shared" si="0"/>
        <v>3.316666666666666</v>
      </c>
      <c r="K43" s="2">
        <f t="shared" si="1"/>
        <v>4.3201955956323586</v>
      </c>
      <c r="L43" s="2">
        <f t="shared" si="2"/>
        <v>8.2806906262929925</v>
      </c>
      <c r="M43" s="2">
        <f t="shared" si="3"/>
        <v>5.3058509628640058</v>
      </c>
    </row>
    <row r="44" spans="1:13" ht="15.75" customHeight="1" x14ac:dyDescent="0.25">
      <c r="A44" s="13"/>
      <c r="I44" s="15">
        <v>26</v>
      </c>
      <c r="J44" s="2">
        <f t="shared" si="0"/>
        <v>3.3823496106832134</v>
      </c>
      <c r="K44" s="2">
        <f t="shared" si="1"/>
        <v>4.4057523289334002</v>
      </c>
      <c r="L44" s="2">
        <f t="shared" si="2"/>
        <v>8.4446806178985643</v>
      </c>
      <c r="M44" s="2">
        <f t="shared" si="3"/>
        <v>5.4109275191717261</v>
      </c>
    </row>
    <row r="45" spans="1:13" ht="15.75" customHeight="1" x14ac:dyDescent="0.25">
      <c r="A45" s="13"/>
      <c r="I45" s="15">
        <v>27</v>
      </c>
      <c r="J45" s="2">
        <f t="shared" si="0"/>
        <v>3.4467811070620655</v>
      </c>
      <c r="K45" s="2">
        <f t="shared" si="1"/>
        <v>4.4896789621623201</v>
      </c>
      <c r="L45" s="2">
        <f t="shared" si="2"/>
        <v>8.6055461318992865</v>
      </c>
      <c r="M45" s="2">
        <f t="shared" si="3"/>
        <v>5.5140020670412246</v>
      </c>
    </row>
    <row r="46" spans="1:13" ht="15.75" customHeight="1" x14ac:dyDescent="0.25">
      <c r="A46" s="13"/>
      <c r="I46" s="15">
        <v>28</v>
      </c>
      <c r="J46" s="2">
        <f t="shared" si="0"/>
        <v>3.5100300726790232</v>
      </c>
      <c r="K46" s="2">
        <f t="shared" si="1"/>
        <v>4.5720652644799138</v>
      </c>
      <c r="L46" s="2">
        <f t="shared" si="2"/>
        <v>8.7634592324139806</v>
      </c>
      <c r="M46" s="2">
        <f t="shared" si="3"/>
        <v>5.6151848565243059</v>
      </c>
    </row>
    <row r="47" spans="1:13" ht="15.75" customHeight="1" x14ac:dyDescent="0.25">
      <c r="A47" s="13"/>
      <c r="I47" s="15">
        <v>29</v>
      </c>
      <c r="J47" s="2">
        <f t="shared" si="0"/>
        <v>3.5721593220658869</v>
      </c>
      <c r="K47" s="2">
        <f t="shared" si="1"/>
        <v>4.6529930563073734</v>
      </c>
      <c r="L47" s="2">
        <f t="shared" si="2"/>
        <v>8.9185767478963189</v>
      </c>
      <c r="M47" s="2">
        <f t="shared" si="3"/>
        <v>5.7145763754231922</v>
      </c>
    </row>
    <row r="48" spans="1:13" ht="15.75" customHeight="1" x14ac:dyDescent="0.25">
      <c r="A48" s="13"/>
      <c r="I48" s="15">
        <v>30</v>
      </c>
      <c r="J48" s="2">
        <f t="shared" si="0"/>
        <v>3.6332262981176013</v>
      </c>
      <c r="K48" s="2">
        <f t="shared" si="1"/>
        <v>4.732537161124621</v>
      </c>
      <c r="L48" s="2">
        <f t="shared" si="2"/>
        <v>9.0710420954845077</v>
      </c>
      <c r="M48" s="2">
        <f t="shared" si="3"/>
        <v>5.8122685182422442</v>
      </c>
    </row>
    <row r="49" spans="1:13" ht="15.75" customHeight="1" x14ac:dyDescent="0.25">
      <c r="A49" s="13"/>
      <c r="I49" s="15">
        <v>31</v>
      </c>
      <c r="J49" s="2">
        <f t="shared" si="0"/>
        <v>3.6932836940105807</v>
      </c>
      <c r="K49" s="2">
        <f t="shared" si="1"/>
        <v>4.8107662155634134</v>
      </c>
      <c r="L49" s="2">
        <f t="shared" si="2"/>
        <v>9.220986833738948</v>
      </c>
      <c r="M49" s="2">
        <f t="shared" si="3"/>
        <v>5.9083455811043137</v>
      </c>
    </row>
    <row r="50" spans="1:13" ht="15.75" customHeight="1" x14ac:dyDescent="0.25">
      <c r="A50" s="13"/>
      <c r="I50" s="15">
        <v>32</v>
      </c>
      <c r="J50" s="2">
        <f t="shared" si="0"/>
        <v>3.7523799854966118</v>
      </c>
      <c r="K50" s="2">
        <f t="shared" si="1"/>
        <v>4.8877433627582345</v>
      </c>
      <c r="L50" s="2">
        <f t="shared" si="2"/>
        <v>9.3685319916154466</v>
      </c>
      <c r="M50" s="2">
        <f t="shared" si="3"/>
        <v>6.0028851132900982</v>
      </c>
    </row>
    <row r="51" spans="1:13" ht="15.75" customHeight="1" x14ac:dyDescent="0.25">
      <c r="A51" s="13"/>
      <c r="I51" s="15">
        <v>33</v>
      </c>
      <c r="J51" s="2">
        <f t="shared" ref="J51:J82" si="4">ABS($Z$6-$Z$7)/SQRT(($Z$5+($F$4*(1-$F$4))/I51))</f>
        <v>3.810559888870225</v>
      </c>
      <c r="K51" s="2">
        <f t="shared" ref="K51:K82" si="5">(ASIN(SQRT($Z$6))-ASIN(SQRT($Z$7)))/(SQRT(($Z$5/(4*$F$4*(1-$F$4)))+(1/(4*I51))))</f>
        <v>4.9635268488815516</v>
      </c>
      <c r="L51" s="2">
        <f t="shared" ref="L51:L82" si="6">(LN($Z$6/(1-$Z$6))-LN($Z$7/(1-$Z$7)))/SQRT(1/($F$4*(1-$F$4))*((1/I51)+($Z$5/($F$4*(1-$F$4)))))</f>
        <v>9.5137892118680636</v>
      </c>
      <c r="M51" s="2">
        <f t="shared" ref="M51:M82" si="7">AVERAGE(J51:L51)</f>
        <v>6.0959586498732792</v>
      </c>
    </row>
    <row r="52" spans="1:13" ht="15.75" customHeight="1" x14ac:dyDescent="0.25">
      <c r="A52" s="13"/>
      <c r="I52" s="15">
        <v>34</v>
      </c>
      <c r="J52" s="2">
        <f t="shared" si="4"/>
        <v>3.8678647569140487</v>
      </c>
      <c r="K52" s="2">
        <f t="shared" si="5"/>
        <v>5.0381705388909648</v>
      </c>
      <c r="L52" s="2">
        <f t="shared" si="6"/>
        <v>9.6568617396021672</v>
      </c>
      <c r="M52" s="2">
        <f t="shared" si="7"/>
        <v>6.1876323451357278</v>
      </c>
    </row>
    <row r="53" spans="1:13" ht="15.75" customHeight="1" x14ac:dyDescent="0.25">
      <c r="A53" s="13"/>
      <c r="I53" s="15">
        <v>35</v>
      </c>
      <c r="J53" s="2">
        <f t="shared" si="4"/>
        <v>3.9243329227894117</v>
      </c>
      <c r="K53" s="2">
        <f t="shared" si="5"/>
        <v>5.1117243644713213</v>
      </c>
      <c r="L53" s="2">
        <f t="shared" si="6"/>
        <v>9.7978452808628944</v>
      </c>
      <c r="M53" s="2">
        <f t="shared" si="7"/>
        <v>6.2779675227078755</v>
      </c>
    </row>
    <row r="54" spans="1:13" ht="15.75" customHeight="1" x14ac:dyDescent="0.25">
      <c r="A54" s="13"/>
      <c r="I54" s="15">
        <v>36</v>
      </c>
      <c r="J54" s="2">
        <f t="shared" si="4"/>
        <v>3.9799999999999995</v>
      </c>
      <c r="K54" s="2">
        <f t="shared" si="5"/>
        <v>5.1842347147588308</v>
      </c>
      <c r="L54" s="2">
        <f t="shared" si="6"/>
        <v>9.936828751551591</v>
      </c>
      <c r="M54" s="2">
        <f t="shared" si="7"/>
        <v>6.3670211554368068</v>
      </c>
    </row>
    <row r="55" spans="1:13" ht="15.75" customHeight="1" x14ac:dyDescent="0.25">
      <c r="A55" s="13"/>
      <c r="I55" s="15">
        <v>37</v>
      </c>
      <c r="J55" s="2">
        <f t="shared" si="4"/>
        <v>4.0348991450978184</v>
      </c>
      <c r="K55" s="2">
        <f t="shared" si="5"/>
        <v>5.2557447785343827</v>
      </c>
      <c r="L55" s="2">
        <f t="shared" si="6"/>
        <v>10.073894933321343</v>
      </c>
      <c r="M55" s="2">
        <f t="shared" si="7"/>
        <v>6.4548462856511817</v>
      </c>
    </row>
    <row r="56" spans="1:13" ht="15.75" customHeight="1" x14ac:dyDescent="0.25">
      <c r="A56" s="13"/>
      <c r="I56" s="15">
        <v>38</v>
      </c>
      <c r="J56" s="2">
        <f t="shared" si="4"/>
        <v>4.0890612886360866</v>
      </c>
      <c r="K56" s="2">
        <f t="shared" si="5"/>
        <v>5.3262948450562018</v>
      </c>
      <c r="L56" s="2">
        <f t="shared" si="6"/>
        <v>10.209121050194893</v>
      </c>
      <c r="M56" s="2">
        <f t="shared" si="7"/>
        <v>6.54149239462906</v>
      </c>
    </row>
    <row r="57" spans="1:13" ht="15.75" customHeight="1" x14ac:dyDescent="0.25">
      <c r="A57" s="13"/>
      <c r="I57" s="15">
        <v>39</v>
      </c>
      <c r="J57" s="2">
        <f t="shared" si="4"/>
        <v>4.1425153389376037</v>
      </c>
      <c r="K57" s="2">
        <f t="shared" si="5"/>
        <v>5.3959225694827317</v>
      </c>
      <c r="L57" s="2">
        <f t="shared" si="6"/>
        <v>10.342579277311224</v>
      </c>
      <c r="M57" s="2">
        <f t="shared" si="7"/>
        <v>6.6270057285771857</v>
      </c>
    </row>
    <row r="58" spans="1:13" ht="15.75" customHeight="1" x14ac:dyDescent="0.25">
      <c r="A58" s="13"/>
      <c r="I58" s="15">
        <v>40</v>
      </c>
      <c r="J58" s="2">
        <f t="shared" si="4"/>
        <v>4.1952883624900492</v>
      </c>
      <c r="K58" s="2">
        <f t="shared" si="5"/>
        <v>5.4646632078504132</v>
      </c>
      <c r="L58" s="2">
        <f t="shared" si="6"/>
        <v>10.474337191316815</v>
      </c>
      <c r="M58" s="2">
        <f t="shared" si="7"/>
        <v>6.7114295872190928</v>
      </c>
    </row>
    <row r="59" spans="1:13" ht="15.75" customHeight="1" x14ac:dyDescent="0.25">
      <c r="A59" s="13"/>
      <c r="I59" s="15">
        <v>41</v>
      </c>
      <c r="J59" s="2">
        <f t="shared" si="4"/>
        <v>4.2474057441637889</v>
      </c>
      <c r="K59" s="2">
        <f t="shared" si="5"/>
        <v>5.5325498257688395</v>
      </c>
      <c r="L59" s="2">
        <f t="shared" si="6"/>
        <v>10.604458170379932</v>
      </c>
      <c r="M59" s="2">
        <f t="shared" si="7"/>
        <v>6.794804580104187</v>
      </c>
    </row>
    <row r="60" spans="1:13" ht="15.75" customHeight="1" x14ac:dyDescent="0.25">
      <c r="A60" s="13"/>
      <c r="I60" s="15">
        <v>42</v>
      </c>
      <c r="J60" s="2">
        <f t="shared" si="4"/>
        <v>4.2988913299438796</v>
      </c>
      <c r="K60" s="2">
        <f t="shared" si="5"/>
        <v>5.599613484339403</v>
      </c>
      <c r="L60" s="2">
        <f t="shared" si="6"/>
        <v>10.733001750548295</v>
      </c>
      <c r="M60" s="2">
        <f t="shared" si="7"/>
        <v>6.8771688549438581</v>
      </c>
    </row>
    <row r="61" spans="1:13" ht="15.75" customHeight="1" x14ac:dyDescent="0.25">
      <c r="A61" s="13"/>
      <c r="I61" s="15">
        <v>43</v>
      </c>
      <c r="J61" s="2">
        <f t="shared" si="4"/>
        <v>4.3497675544536598</v>
      </c>
      <c r="K61" s="2">
        <f t="shared" si="5"/>
        <v>5.6658834062638919</v>
      </c>
      <c r="L61" s="2">
        <f t="shared" si="6"/>
        <v>10.860023944136026</v>
      </c>
      <c r="M61" s="2">
        <f t="shared" si="7"/>
        <v>6.9585583016178587</v>
      </c>
    </row>
    <row r="62" spans="1:13" ht="15.75" customHeight="1" x14ac:dyDescent="0.25">
      <c r="A62" s="13"/>
      <c r="I62" s="15">
        <v>44</v>
      </c>
      <c r="J62" s="2">
        <f t="shared" si="4"/>
        <v>4.4000555552048297</v>
      </c>
      <c r="K62" s="2">
        <f t="shared" si="5"/>
        <v>5.7313871246633976</v>
      </c>
      <c r="L62" s="2">
        <f t="shared" si="6"/>
        <v>10.98557752497077</v>
      </c>
      <c r="M62" s="2">
        <f t="shared" si="7"/>
        <v>7.0390067349463328</v>
      </c>
    </row>
    <row r="63" spans="1:13" ht="15.75" customHeight="1" x14ac:dyDescent="0.25">
      <c r="A63" s="13"/>
      <c r="I63" s="15">
        <v>45</v>
      </c>
      <c r="J63" s="2">
        <f t="shared" si="4"/>
        <v>4.4497752752245807</v>
      </c>
      <c r="K63" s="2">
        <f t="shared" si="5"/>
        <v>5.7961506167574885</v>
      </c>
      <c r="L63" s="2">
        <f t="shared" si="6"/>
        <v>11.109712284621864</v>
      </c>
      <c r="M63" s="2">
        <f t="shared" si="7"/>
        <v>7.1185460588679774</v>
      </c>
    </row>
    <row r="64" spans="1:13" ht="15.75" customHeight="1" x14ac:dyDescent="0.25">
      <c r="A64" s="13"/>
      <c r="I64" s="15">
        <v>46</v>
      </c>
      <c r="J64" s="2">
        <f t="shared" si="4"/>
        <v>4.4989455554730942</v>
      </c>
      <c r="K64" s="2">
        <f t="shared" si="5"/>
        <v>5.860198424244615</v>
      </c>
      <c r="L64" s="2">
        <f t="shared" si="6"/>
        <v>11.232475263138264</v>
      </c>
      <c r="M64" s="2">
        <f t="shared" si="7"/>
        <v>7.1972064142853247</v>
      </c>
    </row>
    <row r="65" spans="1:13" ht="15.75" customHeight="1" x14ac:dyDescent="0.25">
      <c r="A65" s="13"/>
      <c r="I65" s="15">
        <v>47</v>
      </c>
      <c r="J65" s="2">
        <f t="shared" si="4"/>
        <v>4.5475842182660253</v>
      </c>
      <c r="K65" s="2">
        <f t="shared" si="5"/>
        <v>5.923553761965862</v>
      </c>
      <c r="L65" s="2">
        <f t="shared" si="6"/>
        <v>11.353910957328672</v>
      </c>
      <c r="M65" s="2">
        <f t="shared" si="7"/>
        <v>7.2750163125201865</v>
      </c>
    </row>
    <row r="66" spans="1:13" ht="15.75" customHeight="1" x14ac:dyDescent="0.25">
      <c r="A66" s="13"/>
      <c r="I66" s="15">
        <v>48</v>
      </c>
      <c r="J66" s="2">
        <f t="shared" si="4"/>
        <v>4.5957081427494204</v>
      </c>
      <c r="K66" s="2">
        <f t="shared" si="5"/>
        <v>5.9862386162164274</v>
      </c>
      <c r="L66" s="2">
        <f t="shared" si="6"/>
        <v>11.474061509199048</v>
      </c>
      <c r="M66" s="2">
        <f t="shared" si="7"/>
        <v>7.352002756054965</v>
      </c>
    </row>
    <row r="67" spans="1:13" ht="15.75" customHeight="1" x14ac:dyDescent="0.25">
      <c r="A67" s="13"/>
      <c r="I67" s="15">
        <v>49</v>
      </c>
      <c r="J67" s="2">
        <f t="shared" si="4"/>
        <v>4.6433333333333326</v>
      </c>
      <c r="K67" s="2">
        <f t="shared" si="5"/>
        <v>6.048273833885303</v>
      </c>
      <c r="L67" s="2">
        <f t="shared" si="6"/>
        <v>11.592966876810189</v>
      </c>
      <c r="M67" s="2">
        <f t="shared" si="7"/>
        <v>7.4281913480096078</v>
      </c>
    </row>
    <row r="68" spans="1:13" ht="15.75" customHeight="1" x14ac:dyDescent="0.25">
      <c r="A68" s="13"/>
      <c r="I68" s="15">
        <v>50</v>
      </c>
      <c r="J68" s="2">
        <f t="shared" si="4"/>
        <v>4.6904749818707643</v>
      </c>
      <c r="K68" s="2">
        <f t="shared" si="5"/>
        <v>6.1096792034477936</v>
      </c>
      <c r="L68" s="2">
        <f t="shared" si="6"/>
        <v>11.710664989519309</v>
      </c>
      <c r="M68" s="2">
        <f t="shared" si="7"/>
        <v>7.5036063916126219</v>
      </c>
    </row>
    <row r="69" spans="1:13" ht="15.75" customHeight="1" x14ac:dyDescent="0.25">
      <c r="A69" s="13"/>
      <c r="I69" s="15">
        <v>51</v>
      </c>
      <c r="J69" s="2">
        <f t="shared" si="4"/>
        <v>4.7371475242667564</v>
      </c>
      <c r="K69" s="2">
        <f t="shared" si="5"/>
        <v>6.1704735287029084</v>
      </c>
      <c r="L69" s="2">
        <f t="shared" si="6"/>
        <v>11.827191889315415</v>
      </c>
      <c r="M69" s="2">
        <f t="shared" si="7"/>
        <v>7.5782709807616939</v>
      </c>
    </row>
    <row r="70" spans="1:13" ht="15.75" customHeight="1" x14ac:dyDescent="0.25">
      <c r="A70" s="13"/>
      <c r="I70" s="15">
        <v>52</v>
      </c>
      <c r="J70" s="2">
        <f t="shared" si="4"/>
        <v>4.7833646921155584</v>
      </c>
      <c r="K70" s="2">
        <f t="shared" si="5"/>
        <v>6.2306746960344643</v>
      </c>
      <c r="L70" s="2">
        <f t="shared" si="6"/>
        <v>11.94258185974136</v>
      </c>
      <c r="M70" s="2">
        <f t="shared" si="7"/>
        <v>7.6522070826304613</v>
      </c>
    </row>
    <row r="71" spans="1:13" ht="15.75" customHeight="1" x14ac:dyDescent="0.25">
      <c r="A71" s="13"/>
      <c r="I71" s="15">
        <v>53</v>
      </c>
      <c r="J71" s="2">
        <f t="shared" si="4"/>
        <v>4.82913955988941</v>
      </c>
      <c r="K71" s="2">
        <f t="shared" si="5"/>
        <v>6.2902997358778547</v>
      </c>
      <c r="L71" s="2">
        <f t="shared" si="6"/>
        <v>12.056867543709622</v>
      </c>
      <c r="M71" s="2">
        <f t="shared" si="7"/>
        <v>7.7254356131589619</v>
      </c>
    </row>
    <row r="72" spans="1:13" ht="15.75" customHeight="1" x14ac:dyDescent="0.25">
      <c r="A72" s="13"/>
      <c r="I72" s="15">
        <v>54</v>
      </c>
      <c r="J72" s="2">
        <f t="shared" si="4"/>
        <v>4.8744845881385235</v>
      </c>
      <c r="K72" s="2">
        <f t="shared" si="5"/>
        <v>6.3493648789911159</v>
      </c>
      <c r="L72" s="2">
        <f t="shared" si="6"/>
        <v>12.170080051359299</v>
      </c>
      <c r="M72" s="2">
        <f t="shared" si="7"/>
        <v>7.7979765061629793</v>
      </c>
    </row>
    <row r="73" spans="1:13" ht="15.75" customHeight="1" x14ac:dyDescent="0.25">
      <c r="A73" s="13"/>
      <c r="I73" s="15">
        <v>55</v>
      </c>
      <c r="J73" s="2">
        <f t="shared" si="4"/>
        <v>4.9194116631067892</v>
      </c>
      <c r="K73" s="2">
        <f t="shared" si="5"/>
        <v>6.4078856080572093</v>
      </c>
      <c r="L73" s="2">
        <f t="shared" si="6"/>
        <v>12.282249058964267</v>
      </c>
      <c r="M73" s="2">
        <f t="shared" si="7"/>
        <v>7.8698487767094223</v>
      </c>
    </row>
    <row r="74" spans="1:13" ht="15.75" customHeight="1" x14ac:dyDescent="0.25">
      <c r="A74" s="13"/>
      <c r="I74" s="15">
        <v>56</v>
      </c>
      <c r="J74" s="2">
        <f t="shared" si="4"/>
        <v>4.9639321331200943</v>
      </c>
      <c r="K74" s="2">
        <f t="shared" si="5"/>
        <v>6.4658767050824251</v>
      </c>
      <c r="L74" s="2">
        <f t="shared" si="6"/>
        <v>12.393402899783565</v>
      </c>
      <c r="M74" s="2">
        <f t="shared" si="7"/>
        <v>7.9410705793286951</v>
      </c>
    </row>
    <row r="75" spans="1:13" ht="15.75" customHeight="1" x14ac:dyDescent="0.25">
      <c r="A75" s="13"/>
      <c r="I75" s="15">
        <v>57</v>
      </c>
      <c r="J75" s="2">
        <f t="shared" si="4"/>
        <v>5.0080568420629294</v>
      </c>
      <c r="K75" s="2">
        <f t="shared" si="5"/>
        <v>6.5233522950020424</v>
      </c>
      <c r="L75" s="2">
        <f t="shared" si="6"/>
        <v>12.50356864764211</v>
      </c>
      <c r="M75" s="2">
        <f t="shared" si="7"/>
        <v>8.0116592615690276</v>
      </c>
    </row>
    <row r="76" spans="1:13" ht="15.75" customHeight="1" x14ac:dyDescent="0.25">
      <c r="A76" s="13"/>
      <c r="I76" s="15">
        <v>58</v>
      </c>
      <c r="J76" s="2">
        <f t="shared" si="4"/>
        <v>5.0517961602230583</v>
      </c>
      <c r="K76" s="2">
        <f t="shared" si="5"/>
        <v>6.580325885857726</v>
      </c>
      <c r="L76" s="2">
        <f t="shared" si="6"/>
        <v>12.612772193940307</v>
      </c>
      <c r="M76" s="2">
        <f t="shared" si="7"/>
        <v>8.0816314133403626</v>
      </c>
    </row>
    <row r="77" spans="1:13" ht="15.75" customHeight="1" x14ac:dyDescent="0.25">
      <c r="A77" s="13"/>
      <c r="I77" s="15">
        <v>59</v>
      </c>
      <c r="J77" s="2">
        <f t="shared" si="4"/>
        <v>5.0951600127528431</v>
      </c>
      <c r="K77" s="2">
        <f t="shared" si="5"/>
        <v>6.6368104058704374</v>
      </c>
      <c r="L77" s="2">
        <f t="shared" si="6"/>
        <v>12.721038318713171</v>
      </c>
      <c r="M77" s="2">
        <f t="shared" si="7"/>
        <v>8.1510029124454846</v>
      </c>
    </row>
    <row r="78" spans="1:13" ht="15.75" customHeight="1" x14ac:dyDescent="0.25">
      <c r="A78" s="13"/>
      <c r="I78" s="15">
        <v>60</v>
      </c>
      <c r="J78" s="2">
        <f t="shared" si="4"/>
        <v>5.1381579059685052</v>
      </c>
      <c r="K78" s="2">
        <f t="shared" si="5"/>
        <v>6.6928182376971037</v>
      </c>
      <c r="L78" s="2">
        <f t="shared" si="6"/>
        <v>12.82839075629145</v>
      </c>
      <c r="M78" s="2">
        <f t="shared" si="7"/>
        <v>8.2197889666523523</v>
      </c>
    </row>
    <row r="79" spans="1:13" ht="15.75" customHeight="1" x14ac:dyDescent="0.25">
      <c r="A79" s="13"/>
      <c r="I79" s="15">
        <v>61</v>
      </c>
      <c r="J79" s="2">
        <f t="shared" si="4"/>
        <v>5.1807989516847464</v>
      </c>
      <c r="K79" s="2">
        <f t="shared" si="5"/>
        <v>6.7483612501281973</v>
      </c>
      <c r="L79" s="2">
        <f t="shared" si="6"/>
        <v>12.934852256057622</v>
      </c>
      <c r="M79" s="2">
        <f t="shared" si="7"/>
        <v>8.2880041526235217</v>
      </c>
    </row>
    <row r="80" spans="1:13" ht="15.75" customHeight="1" x14ac:dyDescent="0.25">
      <c r="A80" s="13"/>
      <c r="I80" s="15">
        <v>62</v>
      </c>
      <c r="J80" s="2">
        <f t="shared" si="4"/>
        <v>5.2230918897611671</v>
      </c>
      <c r="K80" s="2">
        <f t="shared" si="5"/>
        <v>6.8034508274560679</v>
      </c>
      <c r="L80" s="2">
        <f t="shared" si="6"/>
        <v>13.040444638737362</v>
      </c>
      <c r="M80" s="2">
        <f t="shared" si="7"/>
        <v>8.3556624519848661</v>
      </c>
    </row>
    <row r="81" spans="1:13" ht="15.75" customHeight="1" x14ac:dyDescent="0.25">
      <c r="A81" s="13"/>
      <c r="I81" s="15">
        <v>63</v>
      </c>
      <c r="J81" s="2">
        <f t="shared" si="4"/>
        <v>5.2650451090185344</v>
      </c>
      <c r="K81" s="2">
        <f t="shared" si="5"/>
        <v>6.8580978967198698</v>
      </c>
      <c r="L81" s="2">
        <f t="shared" si="6"/>
        <v>13.145188848620972</v>
      </c>
      <c r="M81" s="2">
        <f t="shared" si="7"/>
        <v>8.4227772847864575</v>
      </c>
    </row>
    <row r="82" spans="1:13" ht="15.75" customHeight="1" x14ac:dyDescent="0.25">
      <c r="A82" s="13"/>
      <c r="I82" s="15">
        <v>64</v>
      </c>
      <c r="J82" s="2">
        <f t="shared" si="4"/>
        <v>5.3066666666666658</v>
      </c>
      <c r="K82" s="2">
        <f t="shared" si="5"/>
        <v>6.9123129530117744</v>
      </c>
      <c r="L82" s="2">
        <f t="shared" si="6"/>
        <v>13.249105002068788</v>
      </c>
      <c r="M82" s="2">
        <f t="shared" si="7"/>
        <v>8.4893615405824097</v>
      </c>
    </row>
    <row r="83" spans="1:13" ht="15.75" customHeight="1" x14ac:dyDescent="0.25">
      <c r="A83" s="13"/>
      <c r="I83" s="15">
        <v>65</v>
      </c>
      <c r="J83" s="2">
        <f t="shared" ref="J83:J114" si="8">ABS($Z$6-$Z$7)/SQRT(($Z$5+($F$4*(1-$F$4))/I83))</f>
        <v>5.3479643063713711</v>
      </c>
      <c r="K83" s="2">
        <f t="shared" ref="K83:K118" si="9">(ASIN(SQRT($Z$6))-ASIN(SQRT($Z$7)))/(SQRT(($Z$5/(4*$F$4*(1-$F$4)))+(1/(4*I83))))</f>
        <v>6.9661060830104509</v>
      </c>
      <c r="L83" s="2">
        <f t="shared" ref="L83:L118" si="10">(LN($Z$6/(1-$Z$6))-LN($Z$7/(1-$Z$7)))/SQRT(1/($F$4*(1-$F$4))*((1/I83)+($Z$5/($F$4*(1-$F$4)))))</f>
        <v>13.352212432618769</v>
      </c>
      <c r="M83" s="2">
        <f t="shared" ref="M83:M114" si="11">AVERAGE(J83:L83)</f>
        <v>8.5554276073335291</v>
      </c>
    </row>
    <row r="84" spans="1:13" ht="15.75" customHeight="1" x14ac:dyDescent="0.25">
      <c r="A84" s="13"/>
      <c r="I84" s="15">
        <v>66</v>
      </c>
      <c r="J84" s="2">
        <f t="shared" si="8"/>
        <v>5.3889454750751868</v>
      </c>
      <c r="K84" s="2">
        <f t="shared" si="9"/>
        <v>7.0194869868912821</v>
      </c>
      <c r="L84" s="2">
        <f t="shared" si="10"/>
        <v>13.454529732982655</v>
      </c>
      <c r="M84" s="2">
        <f t="shared" si="11"/>
        <v>8.620987398316375</v>
      </c>
    </row>
    <row r="85" spans="1:13" ht="15.75" customHeight="1" x14ac:dyDescent="0.25">
      <c r="A85" s="13"/>
      <c r="I85" s="15">
        <v>67</v>
      </c>
      <c r="J85" s="2">
        <f t="shared" si="8"/>
        <v>5.4296173386753912</v>
      </c>
      <c r="K85" s="2">
        <f t="shared" si="9"/>
        <v>7.0724649987480959</v>
      </c>
      <c r="L85" s="2">
        <f t="shared" si="10"/>
        <v>13.556074794189113</v>
      </c>
      <c r="M85" s="2">
        <f t="shared" si="11"/>
        <v>8.6860523772042004</v>
      </c>
    </row>
    <row r="86" spans="1:13" ht="15.75" customHeight="1" x14ac:dyDescent="0.25">
      <c r="A86" s="13"/>
      <c r="I86" s="15">
        <v>68</v>
      </c>
      <c r="J86" s="2">
        <f t="shared" si="8"/>
        <v>5.4699867966527629</v>
      </c>
      <c r="K86" s="2">
        <f t="shared" si="9"/>
        <v>7.1250491056481682</v>
      </c>
      <c r="L86" s="2">
        <f t="shared" si="10"/>
        <v>13.656864842107227</v>
      </c>
      <c r="M86" s="2">
        <f t="shared" si="11"/>
        <v>8.750633581469387</v>
      </c>
    </row>
    <row r="87" spans="1:13" ht="15.75" customHeight="1" x14ac:dyDescent="0.25">
      <c r="A87" s="13"/>
      <c r="I87" s="15">
        <v>69</v>
      </c>
      <c r="J87" s="2">
        <f t="shared" si="8"/>
        <v>5.5100604957356554</v>
      </c>
      <c r="K87" s="2">
        <f t="shared" si="9"/>
        <v>7.1772479654306638</v>
      </c>
      <c r="L87" s="2">
        <f t="shared" si="10"/>
        <v>13.756916471561478</v>
      </c>
      <c r="M87" s="2">
        <f t="shared" si="11"/>
        <v>8.8147416442426003</v>
      </c>
    </row>
    <row r="88" spans="1:13" ht="15.75" customHeight="1" x14ac:dyDescent="0.25">
      <c r="A88" s="13"/>
      <c r="I88" s="15">
        <v>70</v>
      </c>
      <c r="J88" s="2">
        <f t="shared" si="8"/>
        <v>5.5498448426760332</v>
      </c>
      <c r="K88" s="2">
        <f t="shared" si="9"/>
        <v>7.229069923348332</v>
      </c>
      <c r="L88" s="2">
        <f t="shared" si="10"/>
        <v>13.856245678229531</v>
      </c>
      <c r="M88" s="2">
        <f t="shared" si="11"/>
        <v>8.8783868147512983</v>
      </c>
    </row>
    <row r="89" spans="1:13" ht="15.75" customHeight="1" x14ac:dyDescent="0.25">
      <c r="A89" s="13"/>
      <c r="I89" s="15">
        <v>71</v>
      </c>
      <c r="J89" s="2">
        <f t="shared" si="8"/>
        <v>5.5893460162069832</v>
      </c>
      <c r="K89" s="2">
        <f t="shared" si="9"/>
        <v>7.2805230276430208</v>
      </c>
      <c r="L89" s="2">
        <f t="shared" si="10"/>
        <v>13.954867888496459</v>
      </c>
      <c r="M89" s="2">
        <f t="shared" si="11"/>
        <v>8.9415789774488204</v>
      </c>
    </row>
    <row r="90" spans="1:13" ht="15.75" customHeight="1" x14ac:dyDescent="0.25">
      <c r="A90" s="13"/>
      <c r="I90" s="15">
        <v>72</v>
      </c>
      <c r="J90" s="2">
        <f t="shared" si="8"/>
        <v>5.6285699782449168</v>
      </c>
      <c r="K90" s="2">
        <f t="shared" si="9"/>
        <v>7.3316150441373527</v>
      </c>
      <c r="L90" s="2">
        <f t="shared" si="10"/>
        <v>14.052797987423171</v>
      </c>
      <c r="M90" s="2">
        <f t="shared" si="11"/>
        <v>9.0043276699351456</v>
      </c>
    </row>
    <row r="91" spans="1:13" ht="15.75" customHeight="1" x14ac:dyDescent="0.25">
      <c r="A91" s="13"/>
      <c r="I91" s="15">
        <v>73</v>
      </c>
      <c r="J91" s="2">
        <f t="shared" si="8"/>
        <v>5.6675224843939613</v>
      </c>
      <c r="K91" s="2">
        <f t="shared" si="9"/>
        <v>7.3823534699174358</v>
      </c>
      <c r="L91" s="2">
        <f t="shared" si="10"/>
        <v>14.15005034497262</v>
      </c>
      <c r="M91" s="2">
        <f t="shared" si="11"/>
        <v>9.0666420997613386</v>
      </c>
    </row>
    <row r="92" spans="1:13" ht="15.75" customHeight="1" x14ac:dyDescent="0.25">
      <c r="A92" s="13"/>
      <c r="I92" s="15">
        <v>74</v>
      </c>
      <c r="J92" s="2">
        <f t="shared" si="8"/>
        <v>5.7062090938049419</v>
      </c>
      <c r="K92" s="2">
        <f t="shared" si="9"/>
        <v>7.4327455461749024</v>
      </c>
      <c r="L92" s="2">
        <f t="shared" si="10"/>
        <v>14.24663884062465</v>
      </c>
      <c r="M92" s="2">
        <f t="shared" si="11"/>
        <v>9.1285311602014971</v>
      </c>
    </row>
    <row r="93" spans="1:13" ht="15.75" customHeight="1" x14ac:dyDescent="0.25">
      <c r="A93" s="13"/>
      <c r="I93" s="15">
        <v>75</v>
      </c>
      <c r="J93" s="2">
        <f t="shared" si="8"/>
        <v>5.7446351784367762</v>
      </c>
      <c r="K93" s="2">
        <f t="shared" si="9"/>
        <v>7.4827982702705338</v>
      </c>
      <c r="L93" s="2">
        <f t="shared" si="10"/>
        <v>14.342576886498811</v>
      </c>
      <c r="M93" s="2">
        <f t="shared" si="11"/>
        <v>9.1900034450687063</v>
      </c>
    </row>
    <row r="94" spans="1:13" ht="15.75" customHeight="1" x14ac:dyDescent="0.25">
      <c r="A94" s="13"/>
      <c r="I94" s="15">
        <v>76</v>
      </c>
      <c r="J94" s="2">
        <f t="shared" si="8"/>
        <v>5.7828059317639591</v>
      </c>
      <c r="K94" s="2">
        <f t="shared" si="9"/>
        <v>7.5325184070763838</v>
      </c>
      <c r="L94" s="2">
        <f t="shared" si="10"/>
        <v>14.437877449094275</v>
      </c>
      <c r="M94" s="2">
        <f t="shared" si="11"/>
        <v>9.251067262644872</v>
      </c>
    </row>
    <row r="95" spans="1:13" ht="15.75" customHeight="1" x14ac:dyDescent="0.25">
      <c r="A95" s="13"/>
      <c r="I95" s="15">
        <v>77</v>
      </c>
      <c r="J95" s="2">
        <f t="shared" si="8"/>
        <v>5.8207263769701072</v>
      </c>
      <c r="K95" s="2">
        <f t="shared" si="9"/>
        <v>7.5819124996484497</v>
      </c>
      <c r="L95" s="2">
        <f t="shared" si="10"/>
        <v>14.532553069746555</v>
      </c>
      <c r="M95" s="2">
        <f t="shared" si="11"/>
        <v>9.3117306487883713</v>
      </c>
    </row>
    <row r="96" spans="1:13" ht="15.75" customHeight="1" x14ac:dyDescent="0.25">
      <c r="A96" s="13"/>
      <c r="I96" s="15">
        <v>78</v>
      </c>
      <c r="J96" s="2">
        <f t="shared" si="8"/>
        <v>5.8584013746641386</v>
      </c>
      <c r="K96" s="2">
        <f t="shared" si="9"/>
        <v>7.6309868792775584</v>
      </c>
      <c r="L96" s="2">
        <f t="shared" si="10"/>
        <v>14.626615883892457</v>
      </c>
      <c r="M96" s="2">
        <f t="shared" si="11"/>
        <v>9.3720013792780517</v>
      </c>
    </row>
    <row r="97" spans="1:13" ht="15.75" customHeight="1" x14ac:dyDescent="0.25">
      <c r="A97" s="13"/>
      <c r="I97" s="15">
        <v>79</v>
      </c>
      <c r="J97" s="2">
        <f t="shared" si="8"/>
        <v>5.8958356301526722</v>
      </c>
      <c r="K97" s="2">
        <f t="shared" si="9"/>
        <v>7.6797476749621856</v>
      </c>
      <c r="L97" s="2">
        <f t="shared" si="10"/>
        <v>14.720077639226982</v>
      </c>
      <c r="M97" s="2">
        <f t="shared" si="11"/>
        <v>9.4318869814472794</v>
      </c>
    </row>
    <row r="98" spans="1:13" ht="15.75" customHeight="1" x14ac:dyDescent="0.25">
      <c r="A98" s="13"/>
      <c r="I98" s="15">
        <v>80</v>
      </c>
      <c r="J98" s="2">
        <f t="shared" si="8"/>
        <v>5.9330337002994415</v>
      </c>
      <c r="K98" s="2">
        <f t="shared" si="9"/>
        <v>7.728200822343319</v>
      </c>
      <c r="L98" s="2">
        <f t="shared" si="10"/>
        <v>14.81294971282915</v>
      </c>
      <c r="M98" s="2">
        <f t="shared" si="11"/>
        <v>9.4913947451573026</v>
      </c>
    </row>
    <row r="99" spans="1:13" ht="15.75" customHeight="1" x14ac:dyDescent="0.25">
      <c r="A99" s="13"/>
      <c r="I99" s="15">
        <v>81</v>
      </c>
      <c r="J99" s="2">
        <f t="shared" si="8"/>
        <v>5.9699999999999989</v>
      </c>
      <c r="K99" s="2">
        <f t="shared" si="9"/>
        <v>7.7763520721382466</v>
      </c>
      <c r="L99" s="2">
        <f t="shared" si="10"/>
        <v>14.905243127327388</v>
      </c>
      <c r="M99" s="2">
        <f t="shared" si="11"/>
        <v>9.5505317331552106</v>
      </c>
    </row>
    <row r="100" spans="1:13" ht="15.75" customHeight="1" x14ac:dyDescent="0.25">
      <c r="A100" s="13"/>
      <c r="I100" s="15">
        <v>82</v>
      </c>
      <c r="J100" s="2">
        <f t="shared" si="8"/>
        <v>6.0067388082978193</v>
      </c>
      <c r="K100" s="2">
        <f t="shared" si="9"/>
        <v>7.8242069981071971</v>
      </c>
      <c r="L100" s="2">
        <f t="shared" si="10"/>
        <v>14.996968566169476</v>
      </c>
      <c r="M100" s="2">
        <f t="shared" si="11"/>
        <v>9.6093047908581628</v>
      </c>
    </row>
    <row r="101" spans="1:13" ht="15.75" customHeight="1" x14ac:dyDescent="0.25">
      <c r="A101" s="13"/>
      <c r="I101" s="15">
        <v>83</v>
      </c>
      <c r="J101" s="2">
        <f t="shared" si="8"/>
        <v>6.0432542741657178</v>
      </c>
      <c r="K101" s="2">
        <f t="shared" si="9"/>
        <v>7.8717710045840699</v>
      </c>
      <c r="L101" s="2">
        <f t="shared" si="10"/>
        <v>15.088136388057023</v>
      </c>
      <c r="M101" s="2">
        <f t="shared" si="11"/>
        <v>9.6677205556022709</v>
      </c>
    </row>
    <row r="102" spans="1:13" ht="15.75" customHeight="1" x14ac:dyDescent="0.25">
      <c r="A102" s="13"/>
      <c r="I102" s="15">
        <v>84</v>
      </c>
      <c r="J102" s="2">
        <f t="shared" si="8"/>
        <v>6.0795504219747469</v>
      </c>
      <c r="K102" s="2">
        <f t="shared" si="9"/>
        <v>7.9190493336000474</v>
      </c>
      <c r="L102" s="2">
        <f t="shared" si="10"/>
        <v>15.17875664059957</v>
      </c>
      <c r="M102" s="2">
        <f t="shared" si="11"/>
        <v>9.7257854653914553</v>
      </c>
    </row>
    <row r="103" spans="1:13" ht="15.75" customHeight="1" x14ac:dyDescent="0.25">
      <c r="A103" s="13"/>
      <c r="I103" s="15">
        <v>85</v>
      </c>
      <c r="J103" s="2">
        <f t="shared" si="8"/>
        <v>6.1156311566709487</v>
      </c>
      <c r="K103" s="2">
        <f t="shared" si="9"/>
        <v>7.9660470716266918</v>
      </c>
      <c r="L103" s="2">
        <f t="shared" si="10"/>
        <v>15.268839073239347</v>
      </c>
      <c r="M103" s="2">
        <f t="shared" si="11"/>
        <v>9.7835057671789958</v>
      </c>
    </row>
    <row r="104" spans="1:13" ht="15.75" customHeight="1" x14ac:dyDescent="0.25">
      <c r="A104" s="13"/>
      <c r="I104" s="15">
        <v>86</v>
      </c>
      <c r="J104" s="2">
        <f t="shared" si="8"/>
        <v>6.1515002686788165</v>
      </c>
      <c r="K104" s="2">
        <f t="shared" si="9"/>
        <v>8.0127691559630652</v>
      </c>
      <c r="L104" s="2">
        <f t="shared" si="10"/>
        <v>15.35839314949372</v>
      </c>
      <c r="M104" s="2">
        <f t="shared" si="11"/>
        <v>9.8408875247118672</v>
      </c>
    </row>
    <row r="105" spans="1:13" ht="15.75" customHeight="1" x14ac:dyDescent="0.25">
      <c r="A105" s="13"/>
      <c r="I105" s="15">
        <v>87</v>
      </c>
      <c r="J105" s="2">
        <f t="shared" si="8"/>
        <v>6.1871614385489133</v>
      </c>
      <c r="K105" s="2">
        <f t="shared" si="9"/>
        <v>8.059220380789565</v>
      </c>
      <c r="L105" s="2">
        <f t="shared" si="10"/>
        <v>15.447428058558833</v>
      </c>
      <c r="M105" s="2">
        <f t="shared" si="11"/>
        <v>9.8979366259657695</v>
      </c>
    </row>
    <row r="106" spans="1:13" ht="15.75" customHeight="1" x14ac:dyDescent="0.25">
      <c r="A106" s="13"/>
      <c r="I106" s="15">
        <v>88</v>
      </c>
      <c r="J106" s="2">
        <f t="shared" si="8"/>
        <v>6.2226182413657485</v>
      </c>
      <c r="K106" s="2">
        <f t="shared" si="9"/>
        <v>8.1054054029095131</v>
      </c>
      <c r="L106" s="2">
        <f t="shared" si="10"/>
        <v>15.53595272631472</v>
      </c>
      <c r="M106" s="2">
        <f t="shared" si="11"/>
        <v>9.9546587901966603</v>
      </c>
    </row>
    <row r="107" spans="1:13" ht="15.75" customHeight="1" x14ac:dyDescent="0.25">
      <c r="A107" s="13"/>
      <c r="I107" s="15">
        <v>89</v>
      </c>
      <c r="J107" s="2">
        <f t="shared" si="8"/>
        <v>6.2578741509308795</v>
      </c>
      <c r="K107" s="2">
        <f t="shared" si="9"/>
        <v>8.1513287471979421</v>
      </c>
      <c r="L107" s="2">
        <f t="shared" si="10"/>
        <v>15.623975825769216</v>
      </c>
      <c r="M107" s="2">
        <f t="shared" si="11"/>
        <v>10.01105957463268</v>
      </c>
    </row>
    <row r="108" spans="1:13" ht="15.75" customHeight="1" x14ac:dyDescent="0.25">
      <c r="A108" s="13"/>
      <c r="I108" s="15">
        <v>90</v>
      </c>
      <c r="J108" s="2">
        <f t="shared" si="8"/>
        <v>6.2929325437350743</v>
      </c>
      <c r="K108" s="2">
        <f t="shared" si="9"/>
        <v>8.1969948117756211</v>
      </c>
      <c r="L108" s="2">
        <f t="shared" si="10"/>
        <v>15.711505786975223</v>
      </c>
      <c r="M108" s="2">
        <f t="shared" si="11"/>
        <v>10.067144380828639</v>
      </c>
    </row>
    <row r="109" spans="1:13" ht="15.75" customHeight="1" x14ac:dyDescent="0.25">
      <c r="A109" s="13"/>
      <c r="I109" s="15">
        <v>91</v>
      </c>
      <c r="J109" s="2">
        <f t="shared" si="8"/>
        <v>6.3277967027324058</v>
      </c>
      <c r="K109" s="2">
        <f t="shared" si="9"/>
        <v>8.2424078729250763</v>
      </c>
      <c r="L109" s="2">
        <f t="shared" si="10"/>
        <v>15.798550806453449</v>
      </c>
      <c r="M109" s="2">
        <f t="shared" si="11"/>
        <v>10.122918460703643</v>
      </c>
    </row>
    <row r="110" spans="1:13" ht="15.75" customHeight="1" x14ac:dyDescent="0.25">
      <c r="A110" s="13"/>
      <c r="I110" s="15">
        <v>92</v>
      </c>
      <c r="J110" s="2">
        <f t="shared" si="8"/>
        <v>6.3624698209282071</v>
      </c>
      <c r="K110" s="2">
        <f t="shared" si="9"/>
        <v>8.2875720897641756</v>
      </c>
      <c r="L110" s="2">
        <f t="shared" si="10"/>
        <v>15.885118856150433</v>
      </c>
      <c r="M110" s="2">
        <f t="shared" si="11"/>
        <v>10.178386922280938</v>
      </c>
    </row>
    <row r="111" spans="1:13" ht="15.75" customHeight="1" x14ac:dyDescent="0.25">
      <c r="A111" s="13"/>
      <c r="I111" s="15">
        <v>93</v>
      </c>
      <c r="J111" s="2">
        <f t="shared" si="8"/>
        <v>6.3969550047919927</v>
      </c>
      <c r="K111" s="2">
        <f t="shared" si="9"/>
        <v>8.3324915086916818</v>
      </c>
      <c r="L111" s="2">
        <f t="shared" si="10"/>
        <v>15.971217691959529</v>
      </c>
      <c r="M111" s="2">
        <f t="shared" si="11"/>
        <v>10.233554735147735</v>
      </c>
    </row>
    <row r="112" spans="1:13" ht="15.75" customHeight="1" x14ac:dyDescent="0.25">
      <c r="A112" s="13"/>
      <c r="I112" s="15">
        <v>94</v>
      </c>
      <c r="J112" s="2">
        <f t="shared" si="8"/>
        <v>6.4312552775056622</v>
      </c>
      <c r="K112" s="2">
        <f t="shared" si="9"/>
        <v>8.377170067618291</v>
      </c>
      <c r="L112" s="2">
        <f t="shared" si="10"/>
        <v>16.056854861830701</v>
      </c>
      <c r="M112" s="2">
        <f t="shared" si="11"/>
        <v>10.288426735651552</v>
      </c>
    </row>
    <row r="113" spans="1:13" ht="15.75" customHeight="1" x14ac:dyDescent="0.25">
      <c r="A113" s="13"/>
      <c r="I113" s="15">
        <v>95</v>
      </c>
      <c r="J113" s="2">
        <f t="shared" si="8"/>
        <v>6.4653735820566114</v>
      </c>
      <c r="K113" s="2">
        <f t="shared" si="9"/>
        <v>8.4216115999956145</v>
      </c>
      <c r="L113" s="2">
        <f t="shared" si="10"/>
        <v>16.142037713493028</v>
      </c>
      <c r="M113" s="2">
        <f t="shared" si="11"/>
        <v>10.343007631848417</v>
      </c>
    </row>
    <row r="114" spans="1:13" ht="15.75" customHeight="1" x14ac:dyDescent="0.25">
      <c r="A114" s="13"/>
      <c r="I114" s="15">
        <v>96</v>
      </c>
      <c r="J114" s="2">
        <f t="shared" si="8"/>
        <v>6.4993127841846983</v>
      </c>
      <c r="K114" s="2">
        <f t="shared" si="9"/>
        <v>8.46581983865482</v>
      </c>
      <c r="L114" s="2">
        <f t="shared" si="10"/>
        <v>16.226773401812398</v>
      </c>
      <c r="M114" s="2">
        <f t="shared" si="11"/>
        <v>10.397302008217306</v>
      </c>
    </row>
    <row r="115" spans="1:13" ht="15.75" customHeight="1" x14ac:dyDescent="0.25">
      <c r="A115" s="13"/>
      <c r="I115" s="15">
        <v>97</v>
      </c>
      <c r="J115" s="2">
        <f t="shared" ref="J115:J118" si="12">ABS($Z$6-$Z$7)/SQRT(($Z$5+($F$4*(1-$F$4))/I115))</f>
        <v>6.533075675191415</v>
      </c>
      <c r="K115" s="2">
        <f t="shared" si="9"/>
        <v>8.5097984194657865</v>
      </c>
      <c r="L115" s="2">
        <f t="shared" si="10"/>
        <v>16.311068895805121</v>
      </c>
      <c r="M115" s="2">
        <f t="shared" ref="M115:M118" si="13">AVERAGE(J115:L115)</f>
        <v>10.451314330154107</v>
      </c>
    </row>
    <row r="116" spans="1:13" ht="15.75" customHeight="1" x14ac:dyDescent="0.25">
      <c r="A116" s="20"/>
      <c r="I116" s="15">
        <v>98</v>
      </c>
      <c r="J116" s="2">
        <f t="shared" si="12"/>
        <v>6.5666649746190702</v>
      </c>
      <c r="K116" s="2">
        <f t="shared" si="9"/>
        <v>8.5535508848269117</v>
      </c>
      <c r="L116" s="2">
        <f t="shared" si="10"/>
        <v>16.394930985327033</v>
      </c>
      <c r="M116" s="2">
        <f t="shared" si="13"/>
        <v>10.505048948257672</v>
      </c>
    </row>
    <row r="117" spans="1:13" ht="15.75" customHeight="1" x14ac:dyDescent="0.25">
      <c r="A117" s="20"/>
      <c r="I117" s="15">
        <v>99</v>
      </c>
      <c r="J117" s="2">
        <f t="shared" si="12"/>
        <v>6.6000833328072455</v>
      </c>
      <c r="K117" s="2">
        <f t="shared" si="9"/>
        <v>8.5970806869950973</v>
      </c>
      <c r="L117" s="2">
        <f t="shared" si="10"/>
        <v>16.478366287456151</v>
      </c>
      <c r="M117" s="2">
        <f t="shared" si="13"/>
        <v>10.558510102419499</v>
      </c>
    </row>
    <row r="118" spans="1:13" ht="15.75" customHeight="1" x14ac:dyDescent="0.25">
      <c r="A118" s="20"/>
      <c r="I118" s="15">
        <v>100</v>
      </c>
      <c r="J118" s="2">
        <f t="shared" si="12"/>
        <v>6.633333333333332</v>
      </c>
      <c r="K118" s="2">
        <f t="shared" si="9"/>
        <v>8.6403911912647171</v>
      </c>
      <c r="L118" s="2">
        <f t="shared" si="10"/>
        <v>16.561381252585985</v>
      </c>
      <c r="M118" s="2">
        <f t="shared" si="13"/>
        <v>10.611701925728012</v>
      </c>
    </row>
  </sheetData>
  <dataValidations count="2">
    <dataValidation type="whole" operator="greaterThan" allowBlank="1" showInputMessage="1" showErrorMessage="1" sqref="F6">
      <formula1>0</formula1>
    </dataValidation>
    <dataValidation type="decimal" allowBlank="1" showInputMessage="1" showErrorMessage="1" sqref="F10 F4:F5">
      <formula1>0</formula1>
      <formula2>1</formula2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zoomScale="80" zoomScaleNormal="80" workbookViewId="0">
      <selection activeCell="Z32" sqref="Z1:Z32"/>
    </sheetView>
  </sheetViews>
  <sheetFormatPr defaultColWidth="9.140625" defaultRowHeight="15.75" x14ac:dyDescent="0.25"/>
  <cols>
    <col min="1" max="1" width="20" style="14" customWidth="1"/>
    <col min="2" max="2" width="30.85546875" style="32" customWidth="1"/>
    <col min="3" max="3" width="12.7109375" style="63" customWidth="1"/>
    <col min="4" max="4" width="9.140625" style="47" customWidth="1"/>
    <col min="5" max="5" width="12.28515625" style="32" customWidth="1"/>
    <col min="6" max="6" width="13.5703125" style="32" bestFit="1" customWidth="1"/>
    <col min="7" max="7" width="14.28515625" style="32" bestFit="1" customWidth="1"/>
    <col min="8" max="8" width="9.140625" style="32" customWidth="1"/>
    <col min="9" max="9" width="9.140625" style="63"/>
    <col min="10" max="10" width="9.140625" style="32"/>
    <col min="11" max="12" width="9.140625" style="32" customWidth="1"/>
    <col min="13" max="15" width="9.140625" style="32"/>
    <col min="16" max="16" width="9.140625" style="32" customWidth="1"/>
    <col min="17" max="17" width="3.140625" style="32" customWidth="1"/>
    <col min="18" max="18" width="2.140625" style="32" customWidth="1"/>
    <col min="19" max="19" width="11.140625" style="32" customWidth="1"/>
    <col min="20" max="25" width="9.140625" style="32"/>
    <col min="26" max="26" width="14.7109375" style="32" customWidth="1"/>
    <col min="27" max="27" width="27" customWidth="1"/>
    <col min="28" max="28" width="14.42578125" style="32" customWidth="1"/>
    <col min="29" max="29" width="9.140625" style="32" customWidth="1"/>
    <col min="30" max="30" width="8.85546875" customWidth="1"/>
    <col min="31" max="16384" width="9.140625" style="32"/>
  </cols>
  <sheetData>
    <row r="1" spans="1:29" s="14" customFormat="1" ht="95.25" customHeight="1" x14ac:dyDescent="0.2">
      <c r="A1" s="20"/>
      <c r="B1" s="64" t="s">
        <v>22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15.6" customHeight="1" x14ac:dyDescent="0.25">
      <c r="A2" s="20"/>
      <c r="B2" s="25" t="s">
        <v>23</v>
      </c>
      <c r="C2" s="26"/>
      <c r="D2" s="27"/>
      <c r="E2" s="28"/>
      <c r="F2" s="29"/>
      <c r="G2" s="29"/>
      <c r="H2" s="29"/>
      <c r="I2" s="26"/>
      <c r="J2" s="29"/>
      <c r="K2" s="29"/>
      <c r="L2" s="29"/>
      <c r="M2" s="29"/>
      <c r="N2" s="29"/>
      <c r="O2" s="29"/>
      <c r="P2" s="29"/>
      <c r="Q2" s="20"/>
      <c r="R2" s="30"/>
      <c r="S2" s="30"/>
      <c r="T2" s="30"/>
      <c r="U2" s="29"/>
      <c r="V2" s="29"/>
      <c r="W2" s="29"/>
      <c r="X2" s="29"/>
      <c r="Y2" s="29"/>
      <c r="Z2" s="20"/>
      <c r="AA2" s="11" t="s">
        <v>24</v>
      </c>
      <c r="AB2" s="31"/>
    </row>
    <row r="3" spans="1:29" ht="15.6" customHeight="1" x14ac:dyDescent="0.25">
      <c r="A3" s="20"/>
      <c r="B3" s="33" t="s">
        <v>25</v>
      </c>
      <c r="C3" s="34">
        <v>0.9</v>
      </c>
      <c r="D3" s="25"/>
      <c r="E3" s="27"/>
      <c r="F3" s="27"/>
      <c r="G3" s="27"/>
      <c r="H3" s="27"/>
      <c r="I3" s="27"/>
      <c r="J3" s="27"/>
      <c r="K3" s="27"/>
      <c r="L3" s="27"/>
      <c r="M3" s="29"/>
      <c r="N3" s="29"/>
      <c r="O3" s="29"/>
      <c r="P3" s="29"/>
      <c r="Q3" s="20"/>
      <c r="R3" s="30"/>
      <c r="S3" s="25" t="s">
        <v>26</v>
      </c>
      <c r="T3" s="29"/>
      <c r="U3" s="29"/>
      <c r="V3" s="29"/>
      <c r="W3" s="29"/>
      <c r="X3" s="29"/>
      <c r="Y3" s="29"/>
      <c r="Z3" s="20"/>
      <c r="AA3" s="7" t="s">
        <v>27</v>
      </c>
      <c r="AB3" s="35">
        <f>2^(C7-C8)</f>
        <v>64</v>
      </c>
    </row>
    <row r="4" spans="1:29" ht="15.6" customHeight="1" x14ac:dyDescent="0.25">
      <c r="A4" s="20"/>
      <c r="B4" s="36" t="s">
        <v>28</v>
      </c>
      <c r="C4" s="34">
        <v>0.1</v>
      </c>
      <c r="D4" s="25"/>
      <c r="E4" s="27"/>
      <c r="F4" s="27"/>
      <c r="G4" s="27"/>
      <c r="H4" s="27"/>
      <c r="I4" s="27"/>
      <c r="J4" s="27"/>
      <c r="K4" s="27"/>
      <c r="L4" s="27"/>
      <c r="M4" s="29"/>
      <c r="N4" s="29"/>
      <c r="O4" s="29"/>
      <c r="P4" s="29"/>
      <c r="Q4" s="20"/>
      <c r="R4" s="30"/>
      <c r="S4" s="34"/>
      <c r="T4" s="29" t="s">
        <v>16</v>
      </c>
      <c r="U4" s="29"/>
      <c r="V4" s="29"/>
      <c r="W4" s="29"/>
      <c r="X4" s="29"/>
      <c r="Y4" s="29"/>
      <c r="Z4" s="20"/>
      <c r="AA4" s="37" t="s">
        <v>29</v>
      </c>
      <c r="AB4" s="35">
        <f>1-C3</f>
        <v>9.9999999999999978E-2</v>
      </c>
    </row>
    <row r="5" spans="1:29" ht="15.6" customHeight="1" x14ac:dyDescent="0.25">
      <c r="A5" s="20"/>
      <c r="B5" s="36" t="s">
        <v>30</v>
      </c>
      <c r="C5" s="34">
        <v>0.8</v>
      </c>
      <c r="D5" s="25"/>
      <c r="E5" s="27"/>
      <c r="F5" s="27"/>
      <c r="G5" s="27"/>
      <c r="H5" s="27"/>
      <c r="I5" s="27"/>
      <c r="J5" s="27"/>
      <c r="K5" s="27"/>
      <c r="L5" s="27"/>
      <c r="M5" s="29"/>
      <c r="N5" s="29"/>
      <c r="O5" s="29"/>
      <c r="P5" s="29"/>
      <c r="Q5" s="20"/>
      <c r="R5" s="30"/>
      <c r="S5" s="38"/>
      <c r="T5" s="29" t="s">
        <v>31</v>
      </c>
      <c r="U5" s="29"/>
      <c r="V5" s="29"/>
      <c r="W5" s="29"/>
      <c r="X5" s="29"/>
      <c r="Y5" s="29"/>
      <c r="Z5" s="20"/>
      <c r="AA5" s="37" t="s">
        <v>32</v>
      </c>
      <c r="AB5" s="39">
        <f>C4/C3</f>
        <v>0.11111111111111112</v>
      </c>
    </row>
    <row r="6" spans="1:29" ht="15.6" customHeight="1" x14ac:dyDescent="0.25">
      <c r="A6" s="20"/>
      <c r="B6" s="33" t="s">
        <v>33</v>
      </c>
      <c r="C6" s="34">
        <v>0.8</v>
      </c>
      <c r="D6" s="25"/>
      <c r="E6" s="27"/>
      <c r="F6" s="27"/>
      <c r="G6" s="27"/>
      <c r="H6" s="27"/>
      <c r="I6" s="27"/>
      <c r="J6" s="27"/>
      <c r="K6" s="27"/>
      <c r="L6" s="27"/>
      <c r="M6" s="29"/>
      <c r="N6" s="29"/>
      <c r="O6" s="29"/>
      <c r="P6" s="29"/>
      <c r="Q6" s="20"/>
      <c r="R6" s="30"/>
      <c r="S6" s="40"/>
      <c r="T6" s="29" t="s">
        <v>34</v>
      </c>
      <c r="U6" s="29"/>
      <c r="V6" s="29"/>
      <c r="W6" s="29"/>
      <c r="X6" s="29"/>
      <c r="Y6" s="29"/>
      <c r="Z6" s="20"/>
      <c r="AA6" s="41" t="s">
        <v>35</v>
      </c>
      <c r="AB6" s="35">
        <f>1-C5</f>
        <v>0.19999999999999996</v>
      </c>
    </row>
    <row r="7" spans="1:29" ht="15.6" customHeight="1" x14ac:dyDescent="0.25">
      <c r="A7" s="20"/>
      <c r="B7" s="36" t="s">
        <v>36</v>
      </c>
      <c r="C7" s="34">
        <v>7</v>
      </c>
      <c r="D7" s="25"/>
      <c r="E7" s="27"/>
      <c r="F7" s="27"/>
      <c r="G7" s="27"/>
      <c r="H7" s="27"/>
      <c r="I7" s="27"/>
      <c r="J7" s="27"/>
      <c r="K7" s="27"/>
      <c r="L7" s="27"/>
      <c r="M7" s="29"/>
      <c r="N7" s="29"/>
      <c r="O7" s="29"/>
      <c r="P7" s="29"/>
      <c r="Q7" s="20"/>
      <c r="R7" s="30"/>
      <c r="S7" s="29"/>
      <c r="T7" s="29"/>
      <c r="U7" s="29"/>
      <c r="V7" s="29"/>
      <c r="W7" s="29"/>
      <c r="X7" s="29"/>
      <c r="Y7" s="29"/>
      <c r="Z7" s="20"/>
      <c r="AA7" s="41" t="s">
        <v>37</v>
      </c>
      <c r="AB7" s="35">
        <f>1-C6</f>
        <v>0.19999999999999996</v>
      </c>
    </row>
    <row r="8" spans="1:29" ht="15.6" customHeight="1" x14ac:dyDescent="0.25">
      <c r="A8" s="20"/>
      <c r="B8" s="36" t="s">
        <v>38</v>
      </c>
      <c r="C8" s="34">
        <v>1</v>
      </c>
      <c r="D8" s="42"/>
      <c r="E8" s="27"/>
      <c r="F8" s="27"/>
      <c r="G8" s="27"/>
      <c r="H8" s="27"/>
      <c r="I8" s="27"/>
      <c r="J8" s="27"/>
      <c r="K8" s="27"/>
      <c r="L8" s="27"/>
      <c r="M8" s="29"/>
      <c r="N8" s="29"/>
      <c r="O8" s="29"/>
      <c r="P8" s="29"/>
      <c r="Q8" s="20"/>
      <c r="R8" s="30"/>
      <c r="S8" s="25" t="s">
        <v>39</v>
      </c>
      <c r="T8" s="29"/>
      <c r="U8" s="29"/>
      <c r="V8" s="29"/>
      <c r="W8" s="29"/>
      <c r="X8" s="29"/>
      <c r="Y8" s="29"/>
      <c r="Z8" s="20"/>
      <c r="AA8" s="37" t="s">
        <v>40</v>
      </c>
      <c r="AB8" s="43">
        <f>NORMSINV(1-AB6/2)</f>
        <v>1.2815515655446006</v>
      </c>
    </row>
    <row r="9" spans="1:29" ht="15.6" customHeight="1" x14ac:dyDescent="0.25">
      <c r="A9" s="20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9"/>
      <c r="N9" s="29"/>
      <c r="O9" s="29"/>
      <c r="P9" s="29"/>
      <c r="Q9" s="20"/>
      <c r="R9" s="30"/>
      <c r="S9" s="44" t="s">
        <v>41</v>
      </c>
      <c r="T9" s="29"/>
      <c r="U9" s="29"/>
      <c r="V9" s="29"/>
      <c r="W9" s="29"/>
      <c r="X9" s="29"/>
      <c r="Y9" s="29"/>
      <c r="Z9" s="20"/>
      <c r="AA9" s="37" t="s">
        <v>42</v>
      </c>
      <c r="AB9" s="43">
        <f>NORMSINV(C6)</f>
        <v>0.84162123357291474</v>
      </c>
    </row>
    <row r="10" spans="1:29" ht="15.6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30"/>
      <c r="S10" s="29" t="s">
        <v>43</v>
      </c>
      <c r="T10" s="29"/>
      <c r="U10" s="29"/>
      <c r="V10" s="29"/>
      <c r="W10" s="29"/>
      <c r="X10" s="29"/>
      <c r="Y10" s="29"/>
      <c r="Z10" s="20"/>
      <c r="AA10" s="37" t="s">
        <v>44</v>
      </c>
      <c r="AB10" s="43">
        <f>ASIN(SQRT(C3+(C4/2)))-ASIN(SQRT(C3-(C4/2)))</f>
        <v>0.17218600919394067</v>
      </c>
    </row>
    <row r="11" spans="1:29" ht="15.6" customHeight="1" x14ac:dyDescent="0.25">
      <c r="A11" s="20"/>
      <c r="B11" s="25"/>
      <c r="C11" s="25"/>
      <c r="D11" s="25"/>
      <c r="E11" s="27"/>
      <c r="F11" s="27"/>
      <c r="G11" s="27"/>
      <c r="H11" s="27"/>
      <c r="I11" s="27"/>
      <c r="J11" s="27"/>
      <c r="K11" s="27"/>
      <c r="L11" s="27"/>
      <c r="M11" s="29"/>
      <c r="N11" s="29"/>
      <c r="O11" s="29"/>
      <c r="P11" s="29"/>
      <c r="Q11" s="20"/>
      <c r="R11" s="30"/>
      <c r="S11" s="45" t="s">
        <v>45</v>
      </c>
      <c r="T11" s="30"/>
      <c r="U11" s="30"/>
      <c r="V11" s="30"/>
      <c r="W11" s="30"/>
      <c r="X11" s="30"/>
      <c r="Y11" s="30"/>
      <c r="Z11" s="20"/>
      <c r="AA11" s="37" t="s">
        <v>46</v>
      </c>
      <c r="AB11" s="35">
        <f>SQRT(1/(4*1))</f>
        <v>0.5</v>
      </c>
    </row>
    <row r="12" spans="1:29" s="47" customFormat="1" ht="15.6" customHeight="1" x14ac:dyDescent="0.25">
      <c r="A12" s="20"/>
      <c r="B12" s="46" t="s">
        <v>47</v>
      </c>
      <c r="C12" s="36"/>
      <c r="D12" s="25"/>
      <c r="E12" s="27"/>
      <c r="F12" s="27"/>
      <c r="G12" s="27"/>
      <c r="H12" s="27"/>
      <c r="I12" s="27"/>
      <c r="J12" s="27"/>
      <c r="K12" s="27"/>
      <c r="L12" s="27"/>
      <c r="M12" s="30"/>
      <c r="N12" s="30"/>
      <c r="O12" s="30"/>
      <c r="P12" s="30"/>
      <c r="Q12" s="20"/>
      <c r="R12" s="30"/>
      <c r="S12" s="29"/>
      <c r="T12" s="30"/>
      <c r="U12" s="30"/>
      <c r="V12" s="30"/>
      <c r="W12" s="30"/>
      <c r="X12" s="30"/>
      <c r="Y12" s="30"/>
      <c r="Z12" s="20"/>
      <c r="AA12" s="37" t="s">
        <v>48</v>
      </c>
      <c r="AB12" s="43">
        <f>(C4*(SQRT(AB3)))/(2*(AB8+AB9)*AB4*SQRT(1-AB4))</f>
        <v>1.985881796955175</v>
      </c>
    </row>
    <row r="13" spans="1:29" s="47" customFormat="1" ht="15.6" customHeight="1" x14ac:dyDescent="0.25">
      <c r="A13" s="20"/>
      <c r="B13" s="36" t="s">
        <v>49</v>
      </c>
      <c r="C13" s="38">
        <f>ROUNDUP(((AB8+AB9)^2)/(AB3*AB10^2),0)</f>
        <v>3</v>
      </c>
      <c r="D13" s="48"/>
      <c r="E13" s="27"/>
      <c r="F13" s="27"/>
      <c r="G13" s="27"/>
      <c r="H13" s="27"/>
      <c r="I13" s="27"/>
      <c r="J13" s="27"/>
      <c r="K13" s="27"/>
      <c r="L13" s="27"/>
      <c r="M13" s="30"/>
      <c r="N13" s="30"/>
      <c r="O13" s="30"/>
      <c r="P13" s="30"/>
      <c r="Q13" s="20"/>
      <c r="R13" s="30"/>
      <c r="S13" s="44" t="s">
        <v>50</v>
      </c>
      <c r="T13" s="30"/>
      <c r="U13" s="30"/>
      <c r="V13" s="30"/>
      <c r="W13" s="30"/>
      <c r="X13" s="30"/>
      <c r="Y13" s="30"/>
      <c r="Z13" s="20"/>
      <c r="AA13" s="37"/>
      <c r="AB13" s="37"/>
    </row>
    <row r="14" spans="1:29" s="47" customFormat="1" ht="15.6" customHeight="1" x14ac:dyDescent="0.25">
      <c r="A14" s="20"/>
      <c r="B14" s="36" t="s">
        <v>51</v>
      </c>
      <c r="C14" s="38">
        <f>ROUNDUP(MAX(5/$AB$4,5/(1-$AB$4)),0)</f>
        <v>50</v>
      </c>
      <c r="D14" s="49"/>
      <c r="E14" s="27"/>
      <c r="F14" s="27"/>
      <c r="G14" s="27"/>
      <c r="H14" s="27"/>
      <c r="I14" s="27"/>
      <c r="J14" s="27"/>
      <c r="K14" s="27"/>
      <c r="L14" s="27"/>
      <c r="M14" s="30"/>
      <c r="N14" s="30"/>
      <c r="O14" s="30"/>
      <c r="P14" s="30"/>
      <c r="Q14" s="20"/>
      <c r="R14" s="30"/>
      <c r="S14" s="50" t="s">
        <v>52</v>
      </c>
      <c r="T14" s="29"/>
      <c r="U14" s="29"/>
      <c r="V14" s="29"/>
      <c r="W14" s="29"/>
      <c r="X14" s="29"/>
      <c r="Y14" s="29"/>
      <c r="Z14" s="20"/>
      <c r="AA14" s="37"/>
      <c r="AB14" s="37"/>
    </row>
    <row r="15" spans="1:29" ht="15.6" customHeight="1" x14ac:dyDescent="0.25">
      <c r="A15" s="20"/>
      <c r="B15" s="33" t="s">
        <v>53</v>
      </c>
      <c r="C15" s="40">
        <f>IFERROR(MAX(C13,ROUNDUP(MAX(5/$AB$4,5/(1-$AB$4)),0)),C14)</f>
        <v>50</v>
      </c>
      <c r="D15" s="49"/>
      <c r="E15" s="27"/>
      <c r="F15" s="27"/>
      <c r="G15" s="27"/>
      <c r="H15" s="27"/>
      <c r="I15" s="27"/>
      <c r="J15" s="27"/>
      <c r="K15" s="27"/>
      <c r="L15" s="27"/>
      <c r="M15" s="29"/>
      <c r="N15" s="29"/>
      <c r="O15" s="29"/>
      <c r="P15" s="29"/>
      <c r="Q15" s="20"/>
      <c r="R15" s="29"/>
      <c r="S15" s="29" t="s">
        <v>54</v>
      </c>
      <c r="T15" s="29"/>
      <c r="U15" s="29"/>
      <c r="V15" s="29"/>
      <c r="W15" s="29"/>
      <c r="X15" s="29"/>
      <c r="Y15" s="29"/>
      <c r="Z15" s="20"/>
      <c r="AA15" s="11" t="s">
        <v>55</v>
      </c>
      <c r="AB15" s="37"/>
    </row>
    <row r="16" spans="1:29" ht="15.6" customHeight="1" x14ac:dyDescent="0.25">
      <c r="A16" s="20"/>
      <c r="B16" s="33" t="s">
        <v>56</v>
      </c>
      <c r="C16" s="38">
        <f>C15*AB3</f>
        <v>3200</v>
      </c>
      <c r="D16" s="49"/>
      <c r="E16" s="27"/>
      <c r="F16" s="27"/>
      <c r="G16" s="27"/>
      <c r="H16" s="27"/>
      <c r="I16" s="27"/>
      <c r="J16" s="27"/>
      <c r="K16" s="27"/>
      <c r="L16" s="27"/>
      <c r="M16" s="29"/>
      <c r="N16" s="29"/>
      <c r="O16" s="29"/>
      <c r="P16" s="29"/>
      <c r="Q16" s="20"/>
      <c r="R16" s="29"/>
      <c r="S16" s="42"/>
      <c r="T16" s="29"/>
      <c r="U16" s="29"/>
      <c r="V16" s="29"/>
      <c r="W16" s="29"/>
      <c r="X16" s="29"/>
      <c r="Y16" s="29"/>
      <c r="Z16" s="20"/>
      <c r="AA16" s="7" t="s">
        <v>57</v>
      </c>
      <c r="AB16" s="35">
        <f>1-(C3-C4)</f>
        <v>0.19999999999999996</v>
      </c>
    </row>
    <row r="17" spans="1:28" ht="15.6" customHeight="1" x14ac:dyDescent="0.25">
      <c r="A17" s="20"/>
      <c r="B17" s="29"/>
      <c r="C17" s="26"/>
      <c r="D17" s="49"/>
      <c r="E17" s="27"/>
      <c r="F17" s="27"/>
      <c r="G17" s="27"/>
      <c r="H17" s="27"/>
      <c r="I17" s="27"/>
      <c r="J17" s="27"/>
      <c r="K17" s="27"/>
      <c r="L17" s="27"/>
      <c r="M17" s="29"/>
      <c r="N17" s="29"/>
      <c r="O17" s="29"/>
      <c r="P17" s="29"/>
      <c r="Q17" s="20"/>
      <c r="R17" s="29"/>
      <c r="S17" s="29" t="s">
        <v>58</v>
      </c>
      <c r="T17" s="29"/>
      <c r="U17" s="29"/>
      <c r="V17" s="29"/>
      <c r="W17" s="29"/>
      <c r="X17" s="29"/>
      <c r="Y17" s="29"/>
      <c r="Z17" s="20"/>
      <c r="AA17" s="7" t="s">
        <v>59</v>
      </c>
      <c r="AB17" s="35">
        <f>1-C3</f>
        <v>9.9999999999999978E-2</v>
      </c>
    </row>
    <row r="18" spans="1:28" ht="15.6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9"/>
      <c r="S18" s="29"/>
      <c r="T18" s="29"/>
      <c r="U18" s="29"/>
      <c r="V18" s="29"/>
      <c r="W18" s="29"/>
      <c r="X18" s="29"/>
      <c r="Y18" s="29"/>
      <c r="Z18" s="20"/>
      <c r="AA18" s="7" t="s">
        <v>60</v>
      </c>
      <c r="AB18" s="35">
        <v>0.1</v>
      </c>
    </row>
    <row r="19" spans="1:28" ht="15.6" customHeight="1" x14ac:dyDescent="0.25">
      <c r="A19" s="20"/>
      <c r="B19" s="49"/>
      <c r="C19" s="49"/>
      <c r="D19" s="49"/>
      <c r="E19" s="27"/>
      <c r="F19" s="27"/>
      <c r="G19" s="27"/>
      <c r="H19" s="27"/>
      <c r="I19" s="27"/>
      <c r="J19" s="27"/>
      <c r="K19" s="27"/>
      <c r="L19" s="27"/>
      <c r="M19" s="29"/>
      <c r="N19" s="29"/>
      <c r="O19" s="29"/>
      <c r="P19" s="29"/>
      <c r="Q19" s="20"/>
      <c r="R19" s="29"/>
      <c r="S19" s="51" t="s">
        <v>61</v>
      </c>
      <c r="T19" s="29"/>
      <c r="U19" s="29"/>
      <c r="V19" s="29"/>
      <c r="W19" s="29"/>
      <c r="X19" s="29"/>
      <c r="Y19" s="29"/>
      <c r="Z19" s="20"/>
      <c r="AA19" s="7" t="s">
        <v>62</v>
      </c>
      <c r="AB19" s="35">
        <v>0.05</v>
      </c>
    </row>
    <row r="20" spans="1:28" ht="15.6" customHeight="1" x14ac:dyDescent="0.25">
      <c r="A20" s="20"/>
      <c r="B20" s="46" t="s">
        <v>63</v>
      </c>
      <c r="C20" s="26"/>
      <c r="D20" s="49"/>
      <c r="E20" s="27"/>
      <c r="F20" s="27"/>
      <c r="G20" s="27"/>
      <c r="H20" s="27"/>
      <c r="I20" s="27"/>
      <c r="J20" s="27"/>
      <c r="K20" s="27"/>
      <c r="L20" s="27"/>
      <c r="M20" s="29"/>
      <c r="N20" s="29"/>
      <c r="O20" s="29"/>
      <c r="P20" s="29"/>
      <c r="Q20" s="20"/>
      <c r="R20" s="29"/>
      <c r="S20" s="47"/>
      <c r="T20" s="29"/>
      <c r="U20" s="29"/>
      <c r="V20" s="29"/>
      <c r="W20" s="29"/>
      <c r="X20" s="29"/>
      <c r="Y20" s="29"/>
      <c r="Z20" s="20"/>
      <c r="AA20" s="7" t="s">
        <v>64</v>
      </c>
      <c r="AB20" s="35">
        <f>LN(AB17/(1-AB17)/(AB16/(1-AB16)))</f>
        <v>-0.81093021621632877</v>
      </c>
    </row>
    <row r="21" spans="1:28" ht="15.6" customHeight="1" x14ac:dyDescent="0.25">
      <c r="A21" s="20"/>
      <c r="B21" s="36" t="s">
        <v>65</v>
      </c>
      <c r="C21" s="52">
        <f>AB10/AB11</f>
        <v>0.34437201838788134</v>
      </c>
      <c r="D21" s="30"/>
      <c r="E21" s="27"/>
      <c r="F21" s="27"/>
      <c r="G21" s="27"/>
      <c r="H21" s="27"/>
      <c r="I21" s="27"/>
      <c r="J21" s="27"/>
      <c r="K21" s="27"/>
      <c r="L21" s="27"/>
      <c r="M21" s="29"/>
      <c r="N21" s="29"/>
      <c r="O21" s="29"/>
      <c r="P21" s="29"/>
      <c r="Q21" s="20"/>
      <c r="R21" s="29"/>
      <c r="S21" s="53"/>
      <c r="T21" s="29"/>
      <c r="U21" s="29"/>
      <c r="V21" s="29"/>
      <c r="W21" s="29"/>
      <c r="X21" s="29"/>
      <c r="Y21" s="29"/>
      <c r="Z21" s="20"/>
      <c r="AA21" s="7" t="s">
        <v>66</v>
      </c>
      <c r="AB21" s="35">
        <f>LN((1-AB17)/(1-AB16))</f>
        <v>0.11778303565638346</v>
      </c>
    </row>
    <row r="22" spans="1:28" ht="15.6" customHeight="1" x14ac:dyDescent="0.25">
      <c r="A22" s="20"/>
      <c r="B22" s="36" t="s">
        <v>67</v>
      </c>
      <c r="C22" s="52">
        <f>(SQRT(C3*(1-C3)))*ABS((LN((C3-(C4/2))/(1-(C3-(C4/2)))))-(LN((C3+(C4/2))/(1-(C3+(C4/2))))))</f>
        <v>0.36295137713350067</v>
      </c>
      <c r="D22" s="30"/>
      <c r="E22" s="27"/>
      <c r="F22" s="27"/>
      <c r="G22" s="27"/>
      <c r="H22" s="27"/>
      <c r="I22" s="27"/>
      <c r="J22" s="27"/>
      <c r="K22" s="27"/>
      <c r="L22" s="27"/>
      <c r="M22" s="29"/>
      <c r="N22" s="29"/>
      <c r="O22" s="29"/>
      <c r="P22" s="29"/>
      <c r="Q22" s="20"/>
      <c r="R22" s="29"/>
      <c r="S22" s="29"/>
      <c r="T22" s="29"/>
      <c r="U22" s="29"/>
      <c r="V22" s="29"/>
      <c r="W22" s="29"/>
      <c r="X22" s="29"/>
      <c r="Y22" s="29"/>
      <c r="Z22" s="20"/>
      <c r="AA22" s="7" t="s">
        <v>68</v>
      </c>
      <c r="AB22" s="35">
        <f>(1-AB19)/AB18</f>
        <v>9.4999999999999982</v>
      </c>
    </row>
    <row r="23" spans="1:28" ht="15.6" customHeight="1" x14ac:dyDescent="0.25">
      <c r="A23" s="20"/>
      <c r="B23" s="36" t="s">
        <v>69</v>
      </c>
      <c r="C23" s="54">
        <f>C4/SQRT(C3*(1-C3))</f>
        <v>0.33333333333333337</v>
      </c>
      <c r="D23" s="30"/>
      <c r="E23" s="27"/>
      <c r="F23" s="27"/>
      <c r="G23" s="27"/>
      <c r="H23" s="27"/>
      <c r="I23" s="27"/>
      <c r="J23" s="27"/>
      <c r="K23" s="27"/>
      <c r="L23" s="27"/>
      <c r="M23" s="29"/>
      <c r="N23" s="29"/>
      <c r="O23" s="29"/>
      <c r="P23" s="29"/>
      <c r="Q23" s="20"/>
      <c r="R23" s="29"/>
      <c r="S23" s="29"/>
      <c r="T23" s="29"/>
      <c r="U23" s="29"/>
      <c r="V23" s="29"/>
      <c r="W23" s="29"/>
      <c r="X23" s="29"/>
      <c r="Y23" s="29"/>
      <c r="Z23" s="20"/>
      <c r="AA23" s="7" t="s">
        <v>70</v>
      </c>
      <c r="AB23" s="35">
        <f>AB19/(1-AB18)</f>
        <v>5.5555555555555559E-2</v>
      </c>
    </row>
    <row r="24" spans="1:28" ht="15.6" customHeight="1" x14ac:dyDescent="0.25">
      <c r="A24" s="20"/>
      <c r="B24" s="36"/>
      <c r="C24" s="55"/>
      <c r="D24" s="30"/>
      <c r="E24" s="27"/>
      <c r="F24" s="27"/>
      <c r="G24" s="27"/>
      <c r="H24" s="27"/>
      <c r="I24" s="27"/>
      <c r="J24" s="27"/>
      <c r="K24" s="27"/>
      <c r="L24" s="27"/>
      <c r="M24" s="29"/>
      <c r="N24" s="29"/>
      <c r="O24" s="29"/>
      <c r="P24" s="29"/>
      <c r="Q24" s="20"/>
      <c r="R24" s="29"/>
      <c r="S24" s="29"/>
      <c r="T24" s="29"/>
      <c r="U24" s="29"/>
      <c r="V24" s="29"/>
      <c r="W24" s="29"/>
      <c r="X24" s="29"/>
      <c r="Y24" s="29"/>
      <c r="Z24" s="20"/>
      <c r="AA24" s="14"/>
    </row>
    <row r="25" spans="1:28" ht="15.6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9"/>
      <c r="T25" s="29"/>
      <c r="U25" s="29"/>
      <c r="V25" s="29"/>
      <c r="W25" s="29"/>
      <c r="X25" s="29"/>
      <c r="Y25" s="29"/>
      <c r="Z25" s="20"/>
      <c r="AA25" s="14"/>
    </row>
    <row r="26" spans="1:28" ht="15.6" customHeight="1" x14ac:dyDescent="0.25">
      <c r="A26" s="20"/>
      <c r="B26" s="30"/>
      <c r="C26" s="30"/>
      <c r="D26" s="30"/>
      <c r="E26" s="27"/>
      <c r="F26" s="27"/>
      <c r="G26" s="27"/>
      <c r="H26" s="27"/>
      <c r="I26" s="27"/>
      <c r="J26" s="27"/>
      <c r="K26" s="27"/>
      <c r="L26" s="27"/>
      <c r="M26" s="29"/>
      <c r="N26" s="29"/>
      <c r="O26" s="29"/>
      <c r="P26" s="29"/>
      <c r="Q26" s="20"/>
      <c r="R26" s="29"/>
      <c r="S26" s="29"/>
      <c r="T26" s="29"/>
      <c r="U26" s="29"/>
      <c r="V26" s="29"/>
      <c r="W26" s="29"/>
      <c r="X26" s="29"/>
      <c r="Y26" s="29"/>
      <c r="Z26" s="20"/>
      <c r="AA26" s="14"/>
    </row>
    <row r="27" spans="1:28" ht="15.6" customHeight="1" x14ac:dyDescent="0.25">
      <c r="A27" s="20"/>
      <c r="B27" s="25" t="s">
        <v>71</v>
      </c>
      <c r="C27" s="29"/>
      <c r="D27" s="30"/>
      <c r="E27" s="27"/>
      <c r="F27" s="27"/>
      <c r="G27" s="27"/>
      <c r="H27" s="27"/>
      <c r="I27" s="27"/>
      <c r="J27" s="27"/>
      <c r="K27" s="27"/>
      <c r="L27" s="27"/>
      <c r="M27" s="29"/>
      <c r="N27" s="29"/>
      <c r="O27" s="29"/>
      <c r="P27" s="29"/>
      <c r="Q27" s="20"/>
      <c r="R27" s="29"/>
      <c r="S27" s="29"/>
      <c r="T27" s="29"/>
      <c r="U27" s="29"/>
      <c r="V27" s="29"/>
      <c r="W27" s="29"/>
      <c r="X27" s="29"/>
      <c r="Y27" s="29"/>
      <c r="Z27" s="20"/>
      <c r="AA27" s="14"/>
    </row>
    <row r="28" spans="1:28" ht="15.6" customHeight="1" x14ac:dyDescent="0.25">
      <c r="A28" s="20"/>
      <c r="B28" s="36" t="s">
        <v>72</v>
      </c>
      <c r="C28" s="40">
        <f>ROUND(((4*(AB8+AB9)^2*AB4^2*(1-AB4))/(C4^2*AB3))+2,0)</f>
        <v>2</v>
      </c>
      <c r="D28" s="30"/>
      <c r="E28" s="27"/>
      <c r="F28" s="27"/>
      <c r="G28" s="27"/>
      <c r="H28" s="27"/>
      <c r="I28" s="27"/>
      <c r="J28" s="27"/>
      <c r="K28" s="27"/>
      <c r="L28" s="27"/>
      <c r="M28" s="29"/>
      <c r="N28" s="29"/>
      <c r="O28" s="29"/>
      <c r="P28" s="29"/>
      <c r="Q28" s="20"/>
      <c r="R28" s="29"/>
      <c r="S28" s="29"/>
      <c r="T28" s="29"/>
      <c r="U28" s="29"/>
      <c r="V28" s="29"/>
      <c r="W28" s="29"/>
      <c r="X28" s="29"/>
      <c r="Y28" s="29"/>
      <c r="Z28" s="20"/>
      <c r="AA28" s="14"/>
    </row>
    <row r="29" spans="1:28" ht="15.6" customHeight="1" x14ac:dyDescent="0.25">
      <c r="A29" s="20"/>
      <c r="B29" s="36" t="s">
        <v>73</v>
      </c>
      <c r="C29" s="56">
        <f>C28/AB4</f>
        <v>20.000000000000004</v>
      </c>
      <c r="D29" s="57"/>
      <c r="E29" s="27"/>
      <c r="F29" s="27"/>
      <c r="G29" s="27"/>
      <c r="H29" s="27"/>
      <c r="I29" s="27"/>
      <c r="J29" s="27"/>
      <c r="K29" s="27"/>
      <c r="L29" s="27"/>
      <c r="M29" s="29"/>
      <c r="N29" s="29"/>
      <c r="O29" s="29"/>
      <c r="P29" s="29"/>
      <c r="Q29" s="20"/>
      <c r="R29" s="29"/>
      <c r="S29" s="29"/>
      <c r="T29" s="29"/>
      <c r="U29" s="29"/>
      <c r="V29" s="29"/>
      <c r="W29" s="29"/>
      <c r="X29" s="29"/>
      <c r="Y29" s="29"/>
      <c r="Z29" s="20"/>
      <c r="AA29" s="14"/>
    </row>
    <row r="30" spans="1:28" ht="15.6" customHeight="1" x14ac:dyDescent="0.25">
      <c r="A30" s="20"/>
      <c r="B30" s="36" t="s">
        <v>74</v>
      </c>
      <c r="C30" s="56">
        <f>C28/(AB4+C4)</f>
        <v>10</v>
      </c>
      <c r="D30" s="58"/>
      <c r="E30" s="27"/>
      <c r="F30" s="27"/>
      <c r="G30" s="27"/>
      <c r="H30" s="27"/>
      <c r="I30" s="27"/>
      <c r="J30" s="27"/>
      <c r="K30" s="27"/>
      <c r="L30" s="27"/>
      <c r="M30" s="29"/>
      <c r="N30" s="29"/>
      <c r="O30" s="29"/>
      <c r="P30" s="29"/>
      <c r="Q30" s="20"/>
      <c r="R30" s="29"/>
      <c r="S30" s="29"/>
      <c r="T30" s="29"/>
      <c r="U30" s="29"/>
      <c r="V30" s="29"/>
      <c r="W30" s="29"/>
      <c r="X30" s="29"/>
      <c r="Y30" s="29"/>
      <c r="Z30" s="20"/>
      <c r="AA30" s="14"/>
    </row>
    <row r="31" spans="1:28" ht="15.6" customHeight="1" x14ac:dyDescent="0.25">
      <c r="A31" s="20"/>
      <c r="B31" s="36" t="s">
        <v>75</v>
      </c>
      <c r="C31" s="56">
        <f>C29*AB3</f>
        <v>1280.0000000000002</v>
      </c>
      <c r="D31" s="58"/>
      <c r="E31" s="27"/>
      <c r="F31" s="27"/>
      <c r="G31" s="27"/>
      <c r="H31" s="27"/>
      <c r="I31" s="27"/>
      <c r="J31" s="27"/>
      <c r="K31" s="27"/>
      <c r="L31" s="27"/>
      <c r="M31" s="29"/>
      <c r="N31" s="29"/>
      <c r="O31" s="29"/>
      <c r="P31" s="29"/>
      <c r="Q31" s="20"/>
      <c r="R31" s="29"/>
      <c r="S31" s="29"/>
      <c r="T31" s="29"/>
      <c r="U31" s="29"/>
      <c r="V31" s="29"/>
      <c r="W31" s="29"/>
      <c r="X31" s="29"/>
      <c r="Y31" s="29"/>
      <c r="Z31" s="20"/>
      <c r="AA31" s="14"/>
    </row>
    <row r="32" spans="1:28" ht="15.6" customHeight="1" x14ac:dyDescent="0.25">
      <c r="A32" s="20"/>
      <c r="B32" s="30"/>
      <c r="C32" s="30"/>
      <c r="D32" s="30"/>
      <c r="E32" s="27"/>
      <c r="F32" s="27"/>
      <c r="G32" s="27"/>
      <c r="H32" s="27"/>
      <c r="I32" s="27"/>
      <c r="J32" s="27"/>
      <c r="K32" s="27"/>
      <c r="L32" s="27"/>
      <c r="M32" s="29"/>
      <c r="N32" s="29"/>
      <c r="O32" s="29"/>
      <c r="P32" s="29"/>
      <c r="Q32" s="20"/>
      <c r="R32" s="29"/>
      <c r="S32" s="29"/>
      <c r="T32" s="29"/>
      <c r="U32" s="29"/>
      <c r="V32" s="29"/>
      <c r="W32" s="29"/>
      <c r="X32" s="29"/>
      <c r="Y32" s="29"/>
      <c r="Z32" s="20"/>
      <c r="AA32" s="14"/>
    </row>
    <row r="33" spans="1:29" ht="15.6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B33" s="59"/>
      <c r="AC33" s="59"/>
    </row>
    <row r="34" spans="1:29" x14ac:dyDescent="0.25">
      <c r="B34" s="60"/>
      <c r="C34" s="60"/>
      <c r="D34" s="60"/>
      <c r="E34" s="59"/>
      <c r="H34" s="59"/>
      <c r="I34" s="61"/>
      <c r="J34" s="59"/>
      <c r="K34" s="59"/>
      <c r="L34" s="59"/>
      <c r="R34" s="59"/>
      <c r="T34" s="59"/>
      <c r="U34" s="59"/>
      <c r="V34" s="59"/>
      <c r="W34" s="59"/>
      <c r="X34" s="59"/>
      <c r="Y34" s="59"/>
      <c r="Z34" s="59"/>
      <c r="AB34" s="59"/>
      <c r="AC34" s="59"/>
    </row>
    <row r="35" spans="1:29" x14ac:dyDescent="0.25">
      <c r="B35" s="60"/>
      <c r="C35" s="60"/>
      <c r="D35" s="60"/>
      <c r="E35" s="59"/>
      <c r="H35" s="59"/>
      <c r="I35" s="61"/>
      <c r="J35" s="59"/>
      <c r="K35" s="59"/>
      <c r="L35" s="59"/>
      <c r="T35" s="59"/>
      <c r="U35" s="59"/>
      <c r="V35" s="59"/>
      <c r="W35" s="59"/>
      <c r="X35" s="59"/>
      <c r="Y35" s="59"/>
      <c r="Z35" s="59"/>
      <c r="AB35" s="59"/>
      <c r="AC35" s="59"/>
    </row>
    <row r="36" spans="1:29" x14ac:dyDescent="0.25">
      <c r="B36" s="60"/>
      <c r="C36" s="60"/>
      <c r="D36" s="60"/>
      <c r="E36" s="59"/>
      <c r="H36" s="59"/>
      <c r="I36" s="61"/>
      <c r="J36" s="59"/>
      <c r="K36" s="59"/>
      <c r="L36" s="59"/>
      <c r="Z36" s="59"/>
      <c r="AB36" s="59"/>
      <c r="AC36" s="59"/>
    </row>
    <row r="37" spans="1:29" x14ac:dyDescent="0.25">
      <c r="B37" s="60"/>
      <c r="C37" s="60"/>
      <c r="D37" s="60"/>
      <c r="E37" s="59"/>
      <c r="H37" s="59"/>
      <c r="I37" s="61"/>
      <c r="J37" s="59"/>
      <c r="K37" s="59"/>
      <c r="L37" s="59"/>
    </row>
    <row r="38" spans="1:29" x14ac:dyDescent="0.25">
      <c r="B38" s="60"/>
      <c r="C38" s="60"/>
      <c r="D38" s="60"/>
      <c r="E38" s="59"/>
      <c r="H38" s="59"/>
      <c r="I38" s="61"/>
      <c r="J38" s="59"/>
      <c r="K38" s="59"/>
      <c r="L38" s="59"/>
    </row>
    <row r="39" spans="1:29" x14ac:dyDescent="0.25">
      <c r="B39" s="60"/>
      <c r="C39" s="60"/>
      <c r="D39" s="60"/>
      <c r="E39" s="59"/>
      <c r="H39" s="59"/>
      <c r="I39" s="61"/>
      <c r="J39" s="59"/>
      <c r="K39" s="59"/>
      <c r="L39" s="59"/>
    </row>
    <row r="40" spans="1:29" x14ac:dyDescent="0.25">
      <c r="B40" s="60"/>
      <c r="C40" s="60"/>
      <c r="D40" s="60"/>
      <c r="E40" s="59"/>
      <c r="H40" s="59"/>
      <c r="I40" s="61"/>
      <c r="J40" s="59"/>
      <c r="K40" s="59"/>
      <c r="L40" s="59"/>
    </row>
    <row r="41" spans="1:29" x14ac:dyDescent="0.25">
      <c r="B41" s="60"/>
      <c r="C41" s="60"/>
      <c r="D41" s="60"/>
      <c r="E41" s="59"/>
      <c r="H41" s="59"/>
      <c r="I41" s="61"/>
      <c r="J41" s="59"/>
      <c r="K41" s="59"/>
      <c r="L41" s="59"/>
    </row>
    <row r="42" spans="1:29" x14ac:dyDescent="0.25">
      <c r="B42" s="60"/>
      <c r="C42" s="60"/>
      <c r="D42" s="60"/>
      <c r="E42" s="59"/>
      <c r="H42" s="59"/>
      <c r="I42" s="61"/>
      <c r="J42" s="59"/>
      <c r="K42" s="59"/>
      <c r="L42" s="59"/>
    </row>
    <row r="43" spans="1:29" x14ac:dyDescent="0.25">
      <c r="B43" s="60"/>
      <c r="C43" s="60"/>
      <c r="D43" s="60"/>
      <c r="E43" s="59"/>
      <c r="H43" s="59"/>
      <c r="I43" s="61"/>
      <c r="J43" s="59"/>
      <c r="K43" s="59"/>
      <c r="L43" s="59"/>
    </row>
    <row r="44" spans="1:29" x14ac:dyDescent="0.25">
      <c r="B44" s="60"/>
      <c r="C44" s="60"/>
      <c r="D44" s="60"/>
      <c r="E44" s="59"/>
      <c r="H44" s="59"/>
      <c r="I44" s="61"/>
      <c r="J44" s="59"/>
      <c r="K44" s="59"/>
      <c r="L44" s="59"/>
    </row>
    <row r="45" spans="1:29" x14ac:dyDescent="0.25">
      <c r="B45" s="60"/>
      <c r="C45" s="60"/>
      <c r="D45" s="60"/>
      <c r="E45" s="59"/>
      <c r="H45" s="59"/>
      <c r="I45" s="61"/>
      <c r="J45" s="59"/>
      <c r="K45" s="59"/>
      <c r="L45" s="59"/>
    </row>
    <row r="46" spans="1:29" x14ac:dyDescent="0.25">
      <c r="B46" s="60"/>
      <c r="C46" s="60"/>
      <c r="D46" s="60"/>
      <c r="E46" s="59"/>
      <c r="H46" s="59"/>
      <c r="I46" s="61"/>
      <c r="J46" s="59"/>
      <c r="K46" s="59"/>
      <c r="L46" s="59"/>
    </row>
    <row r="47" spans="1:29" x14ac:dyDescent="0.25">
      <c r="B47" s="60"/>
      <c r="C47" s="60"/>
      <c r="D47" s="60"/>
      <c r="E47" s="59"/>
      <c r="H47" s="59"/>
      <c r="I47" s="61"/>
      <c r="J47" s="59"/>
      <c r="K47" s="59"/>
      <c r="L47" s="59"/>
    </row>
    <row r="48" spans="1:29" x14ac:dyDescent="0.25">
      <c r="B48" s="62"/>
      <c r="C48" s="62"/>
      <c r="D48" s="62"/>
    </row>
    <row r="49" spans="2:4" x14ac:dyDescent="0.25">
      <c r="B49" s="62"/>
      <c r="C49" s="62"/>
      <c r="D49" s="62"/>
    </row>
    <row r="50" spans="2:4" x14ac:dyDescent="0.25">
      <c r="B50" s="62"/>
      <c r="C50" s="62"/>
      <c r="D50" s="62"/>
    </row>
    <row r="51" spans="2:4" x14ac:dyDescent="0.25">
      <c r="B51" s="62"/>
      <c r="C51" s="62"/>
      <c r="D51" s="62"/>
    </row>
    <row r="52" spans="2:4" x14ac:dyDescent="0.25">
      <c r="B52" s="62"/>
      <c r="C52" s="62"/>
      <c r="D52" s="62"/>
    </row>
    <row r="53" spans="2:4" x14ac:dyDescent="0.25">
      <c r="B53" s="62"/>
      <c r="C53" s="62"/>
      <c r="D53" s="62"/>
    </row>
    <row r="54" spans="2:4" x14ac:dyDescent="0.25">
      <c r="B54" s="62"/>
      <c r="C54" s="62"/>
      <c r="D54" s="62"/>
    </row>
    <row r="55" spans="2:4" x14ac:dyDescent="0.25">
      <c r="B55" s="62"/>
      <c r="C55" s="62"/>
      <c r="D55" s="62"/>
    </row>
    <row r="56" spans="2:4" x14ac:dyDescent="0.25">
      <c r="B56" s="62"/>
      <c r="C56" s="62"/>
      <c r="D56" s="62"/>
    </row>
    <row r="57" spans="2:4" x14ac:dyDescent="0.25">
      <c r="B57" s="62"/>
      <c r="C57" s="62"/>
      <c r="D57" s="62"/>
    </row>
    <row r="58" spans="2:4" x14ac:dyDescent="0.25">
      <c r="B58" s="62"/>
      <c r="C58" s="62"/>
      <c r="D58" s="62"/>
    </row>
    <row r="59" spans="2:4" x14ac:dyDescent="0.25">
      <c r="B59" s="62"/>
      <c r="C59" s="62"/>
      <c r="D59" s="62"/>
    </row>
    <row r="60" spans="2:4" x14ac:dyDescent="0.25">
      <c r="B60" s="62"/>
      <c r="C60" s="62"/>
      <c r="D60" s="62"/>
    </row>
    <row r="61" spans="2:4" x14ac:dyDescent="0.25">
      <c r="B61" s="62"/>
      <c r="C61" s="62"/>
      <c r="D61" s="62"/>
    </row>
    <row r="62" spans="2:4" x14ac:dyDescent="0.25">
      <c r="B62" s="62"/>
      <c r="C62" s="62"/>
      <c r="D62" s="62"/>
    </row>
    <row r="63" spans="2:4" x14ac:dyDescent="0.25">
      <c r="B63" s="62"/>
      <c r="C63" s="62"/>
      <c r="D63" s="62"/>
    </row>
    <row r="64" spans="2:4" x14ac:dyDescent="0.25">
      <c r="B64" s="62"/>
      <c r="C64" s="62"/>
      <c r="D64" s="62"/>
    </row>
    <row r="65" spans="2:4" x14ac:dyDescent="0.25">
      <c r="B65" s="62"/>
      <c r="C65" s="62"/>
      <c r="D65" s="62"/>
    </row>
    <row r="66" spans="2:4" x14ac:dyDescent="0.25">
      <c r="B66" s="62"/>
      <c r="C66" s="62"/>
      <c r="D66" s="62"/>
    </row>
    <row r="67" spans="2:4" x14ac:dyDescent="0.25">
      <c r="B67" s="62"/>
      <c r="C67" s="62"/>
      <c r="D67" s="62"/>
    </row>
    <row r="68" spans="2:4" x14ac:dyDescent="0.25">
      <c r="B68" s="62"/>
      <c r="C68" s="62"/>
      <c r="D68" s="62"/>
    </row>
    <row r="69" spans="2:4" x14ac:dyDescent="0.25">
      <c r="B69" s="62"/>
      <c r="C69" s="62"/>
      <c r="D69" s="62"/>
    </row>
    <row r="70" spans="2:4" x14ac:dyDescent="0.25">
      <c r="B70" s="62"/>
      <c r="C70" s="62"/>
      <c r="D70" s="62"/>
    </row>
    <row r="71" spans="2:4" x14ac:dyDescent="0.25">
      <c r="B71" s="62"/>
      <c r="C71" s="62"/>
      <c r="D71" s="62"/>
    </row>
    <row r="72" spans="2:4" x14ac:dyDescent="0.25">
      <c r="B72" s="62"/>
      <c r="C72" s="62"/>
      <c r="D72" s="62"/>
    </row>
    <row r="73" spans="2:4" x14ac:dyDescent="0.25">
      <c r="B73" s="62"/>
      <c r="C73" s="62"/>
      <c r="D73" s="62"/>
    </row>
    <row r="74" spans="2:4" x14ac:dyDescent="0.25">
      <c r="B74" s="62"/>
      <c r="C74" s="62"/>
      <c r="D74" s="62"/>
    </row>
    <row r="75" spans="2:4" x14ac:dyDescent="0.25">
      <c r="B75" s="62"/>
      <c r="C75" s="62"/>
      <c r="D75" s="62"/>
    </row>
    <row r="76" spans="2:4" x14ac:dyDescent="0.25">
      <c r="B76" s="62"/>
      <c r="C76" s="62"/>
      <c r="D76" s="62"/>
    </row>
    <row r="77" spans="2:4" x14ac:dyDescent="0.25">
      <c r="B77" s="62"/>
      <c r="C77" s="62"/>
      <c r="D77" s="62"/>
    </row>
    <row r="78" spans="2:4" x14ac:dyDescent="0.25">
      <c r="B78" s="62"/>
      <c r="C78" s="62"/>
      <c r="D78" s="62"/>
    </row>
    <row r="79" spans="2:4" x14ac:dyDescent="0.25">
      <c r="B79" s="62"/>
      <c r="C79" s="62"/>
      <c r="D79" s="62"/>
    </row>
    <row r="80" spans="2:4" x14ac:dyDescent="0.25">
      <c r="B80" s="62"/>
      <c r="C80" s="62"/>
      <c r="D80" s="62"/>
    </row>
    <row r="81" spans="2:4" x14ac:dyDescent="0.25">
      <c r="B81" s="62"/>
      <c r="C81" s="62"/>
      <c r="D81" s="62"/>
    </row>
    <row r="82" spans="2:4" x14ac:dyDescent="0.25">
      <c r="B82" s="62"/>
      <c r="C82" s="62"/>
      <c r="D82" s="62"/>
    </row>
    <row r="83" spans="2:4" x14ac:dyDescent="0.25">
      <c r="B83" s="62"/>
      <c r="C83" s="62"/>
      <c r="D83" s="62"/>
    </row>
  </sheetData>
  <mergeCells count="1">
    <mergeCell ref="B1:P1"/>
  </mergeCells>
  <hyperlinks>
    <hyperlink ref="S19" r:id="rId1"/>
  </hyperlinks>
  <pageMargins left="0.75" right="0.75" top="1" bottom="1" header="0.5" footer="0.5"/>
  <pageSetup orientation="landscape" horizontalDpi="1200" verticalDpi="12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 v.2.0</vt:lpstr>
      <vt:lpstr>Calculator v.1.0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Ortiz</dc:creator>
  <cp:lastModifiedBy>Wolfe, Kimberly L Ctr USAF AETC AFIT/ENS</cp:lastModifiedBy>
  <dcterms:created xsi:type="dcterms:W3CDTF">2018-07-12T16:55:27Z</dcterms:created>
  <dcterms:modified xsi:type="dcterms:W3CDTF">2020-12-01T19:49:47Z</dcterms:modified>
</cp:coreProperties>
</file>